
<file path=[Content_Types].xml><?xml version="1.0" encoding="utf-8"?>
<Types xmlns="http://schemas.openxmlformats.org/package/2006/content-types">
  <Default Extension="png" ContentType="image/png"/>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showPivotChartFilter="1" defaultThemeVersion="124226"/>
  <bookViews>
    <workbookView xWindow="120" yWindow="75" windowWidth="17490" windowHeight="11010"/>
  </bookViews>
  <sheets>
    <sheet name="Introduction" sheetId="8" r:id="rId1"/>
    <sheet name="Energy Savings Calculator" sheetId="7" r:id="rId2"/>
    <sheet name="Payback Calculator" sheetId="6" r:id="rId3"/>
    <sheet name="References" sheetId="10" r:id="rId4"/>
    <sheet name="Calculations" sheetId="1" state="veryHidden" r:id="rId5"/>
    <sheet name="Op Data" sheetId="2" state="veryHidden" r:id="rId6"/>
    <sheet name="VSD Savings" sheetId="3" state="veryHidden" r:id="rId7"/>
    <sheet name="Poles" sheetId="4" state="veryHidden" r:id="rId8"/>
    <sheet name="Motor €" sheetId="5" state="veryHidden" r:id="rId9"/>
    <sheet name="Dropdowns" sheetId="9" state="veryHidden" r:id="rId10"/>
    <sheet name="Sheet1" sheetId="11" state="veryHidden" r:id="rId11"/>
  </sheets>
  <externalReferences>
    <externalReference r:id="rId12"/>
    <externalReference r:id="rId13"/>
  </externalReferences>
  <definedNames>
    <definedName name="Ballast_desc_1">#REF!</definedName>
    <definedName name="Ballast_desc_2">#REF!</definedName>
    <definedName name="Ballast_desc_3">#REF!</definedName>
    <definedName name="Ballast_desc_4">#REF!</definedName>
    <definedName name="Ballasts_T12">#REF!</definedName>
    <definedName name="Ballasts_T8">#REF!</definedName>
    <definedName name="Ballasts1">#REF!</definedName>
    <definedName name="Ballasts2">#REF!</definedName>
    <definedName name="Ballasts3">#REF!</definedName>
    <definedName name="Ballasts4">#REF!</definedName>
    <definedName name="Beyond25">#REF!</definedName>
    <definedName name="BF_Proline">#REF!</definedName>
    <definedName name="BF_T12">#REF!</definedName>
    <definedName name="BF_UltraMax">#REF!</definedName>
    <definedName name="BF_UltraStart">#REF!</definedName>
    <definedName name="BF1_Values">#REF!</definedName>
    <definedName name="BF2_Values">#REF!</definedName>
    <definedName name="BF3_Values">#REF!</definedName>
    <definedName name="BF4_Values">#REF!</definedName>
    <definedName name="Competition">#REF!</definedName>
    <definedName name="Competitive">#REF!</definedName>
    <definedName name="Data_T12">'[1]12-A'!$T$13:$AB$30</definedName>
    <definedName name="_xlnm.Database">#REF!</definedName>
    <definedName name="DataTable">#REF!</definedName>
    <definedName name="Display1_BF">#REF!</definedName>
    <definedName name="Display1_Life">#REF!</definedName>
    <definedName name="Display1_LLI">#REF!</definedName>
    <definedName name="Display1_LLM">#REF!</definedName>
    <definedName name="Display1_LPW">#REF!</definedName>
    <definedName name="Display1_SLI">#REF!</definedName>
    <definedName name="Display1_SLM">#REF!</definedName>
    <definedName name="Display1_W120">#REF!</definedName>
    <definedName name="Display1_W277">#REF!</definedName>
    <definedName name="Display2_BF">#REF!</definedName>
    <definedName name="Display2_Life">#REF!</definedName>
    <definedName name="Display2_LLI">#REF!</definedName>
    <definedName name="Display2_LLM">#REF!</definedName>
    <definedName name="Display2_LPW">#REF!</definedName>
    <definedName name="Display2_SLI">#REF!</definedName>
    <definedName name="Display2_SLM">#REF!</definedName>
    <definedName name="Display2_W120">#REF!</definedName>
    <definedName name="Display2_W277">#REF!</definedName>
    <definedName name="Display3_BF">#REF!</definedName>
    <definedName name="Display3_Life">#REF!</definedName>
    <definedName name="Display3_LLI">#REF!</definedName>
    <definedName name="Display3_LLM">#REF!</definedName>
    <definedName name="Display3_LPW">#REF!</definedName>
    <definedName name="Display3_SLI">#REF!</definedName>
    <definedName name="Display3_SLM">#REF!</definedName>
    <definedName name="Display3_W120">#REF!</definedName>
    <definedName name="Display3_W277">#REF!</definedName>
    <definedName name="Display4_BF">#REF!</definedName>
    <definedName name="Display4_Life">#REF!</definedName>
    <definedName name="Display4_LLI">#REF!</definedName>
    <definedName name="Display4_LLM">#REF!</definedName>
    <definedName name="Display4_LPW">#REF!</definedName>
    <definedName name="Display4_SLI">#REF!</definedName>
    <definedName name="Display4_SLM">#REF!</definedName>
    <definedName name="Display4_W120">#REF!</definedName>
    <definedName name="Display4_W277">#REF!</definedName>
    <definedName name="Efficiency">Dropdowns!$E$3:$E$4</definedName>
    <definedName name="ExtraHit">#REF!</definedName>
    <definedName name="Industry" localSheetId="0">Calculations!$E$7</definedName>
    <definedName name="Input_Criteria">#REF!</definedName>
    <definedName name="Ivan">Calculations!$E$7</definedName>
    <definedName name="Lamp1_Selection">#REF!</definedName>
    <definedName name="Lamp2_Selection">#REF!</definedName>
    <definedName name="Lamp3_Selection">#REF!</definedName>
    <definedName name="Lamp4_Selection">#REF!</definedName>
    <definedName name="Lamps">#REF!</definedName>
    <definedName name="Local_Output">#REF!</definedName>
    <definedName name="LumenLife">#REF!</definedName>
    <definedName name="NumLamps">#REF!</definedName>
    <definedName name="OSI_Output">#REF!</definedName>
    <definedName name="OSI_Query">#REF!</definedName>
    <definedName name="OutputData">#REF!</definedName>
    <definedName name="OutputLocation">#REF!</definedName>
    <definedName name="Philips_Output">#REF!</definedName>
    <definedName name="Print1">#REF!</definedName>
    <definedName name="R_Ballast_Type">#REF!</definedName>
    <definedName name="R_BF">#REF!</definedName>
    <definedName name="R_Lamp_Family">#REF!</definedName>
    <definedName name="R_Num_Lamp">#REF!</definedName>
    <definedName name="R_PC">#REF!</definedName>
    <definedName name="R_Watts_120">#REF!</definedName>
    <definedName name="R_Watts_277">#REF!</definedName>
    <definedName name="Result_criteria">#REF!</definedName>
    <definedName name="Results1">#REF!</definedName>
    <definedName name="Results2">#REF!</definedName>
    <definedName name="Results3">#REF!</definedName>
    <definedName name="Results4">#REF!</definedName>
    <definedName name="S_Ballast_Type">#REF!</definedName>
    <definedName name="S_BF_Nominal">#REF!</definedName>
    <definedName name="S_Lamp_Family">#REF!</definedName>
    <definedName name="S_Lamp_Family1">#REF!</definedName>
    <definedName name="S_Num_Lamp">#REF!</definedName>
    <definedName name="S_Num_Lamp1">#REF!</definedName>
    <definedName name="S_uio">#REF!</definedName>
    <definedName name="Search_Results">#REF!</definedName>
    <definedName name="SearchCriteria">#REF!</definedName>
    <definedName name="SearchCriteriaWithoutHeader">#REF!</definedName>
    <definedName name="Sector">Calculations!$E$7</definedName>
    <definedName name="Sylvania_Output">#REF!</definedName>
    <definedName name="TCP_Output">#REF!</definedName>
    <definedName name="Technologies">Dropdowns!$B$3:$B$7</definedName>
    <definedName name="WWG">#REF!</definedName>
  </definedNames>
  <calcPr calcId="125725"/>
</workbook>
</file>

<file path=xl/calcChain.xml><?xml version="1.0" encoding="utf-8"?>
<calcChain xmlns="http://schemas.openxmlformats.org/spreadsheetml/2006/main">
  <c r="R6" i="5"/>
  <c r="R7"/>
  <c r="R8"/>
  <c r="R9"/>
  <c r="R10"/>
  <c r="R11"/>
  <c r="R12"/>
  <c r="R13"/>
  <c r="R14"/>
  <c r="R15"/>
  <c r="R16"/>
  <c r="R17"/>
  <c r="R18"/>
  <c r="R19"/>
  <c r="R20"/>
  <c r="R21"/>
  <c r="R22"/>
  <c r="R23"/>
  <c r="R24"/>
  <c r="R25"/>
  <c r="R26"/>
  <c r="R27"/>
  <c r="R28"/>
  <c r="Q6"/>
  <c r="Q7"/>
  <c r="Q8"/>
  <c r="Q9"/>
  <c r="Q10"/>
  <c r="Q11"/>
  <c r="Q12"/>
  <c r="Q13"/>
  <c r="Q14"/>
  <c r="Q15"/>
  <c r="Q16"/>
  <c r="Q17"/>
  <c r="Q18"/>
  <c r="Q19"/>
  <c r="Q20"/>
  <c r="Q21"/>
  <c r="Q22"/>
  <c r="Q23"/>
  <c r="Q24"/>
  <c r="Q25"/>
  <c r="Q26"/>
  <c r="Q27"/>
  <c r="Q28"/>
  <c r="Q5"/>
  <c r="R5"/>
  <c r="P6"/>
  <c r="P7"/>
  <c r="P8"/>
  <c r="P9"/>
  <c r="P10"/>
  <c r="P11"/>
  <c r="P12"/>
  <c r="P13"/>
  <c r="P14"/>
  <c r="P15"/>
  <c r="P16"/>
  <c r="P17"/>
  <c r="P18"/>
  <c r="P19"/>
  <c r="P20"/>
  <c r="P21"/>
  <c r="P22"/>
  <c r="P23"/>
  <c r="P24"/>
  <c r="P25"/>
  <c r="P26"/>
  <c r="P27"/>
  <c r="P28"/>
  <c r="P5"/>
  <c r="D32" i="7"/>
  <c r="E32"/>
  <c r="C32"/>
  <c r="N10" i="6"/>
  <c r="N11"/>
  <c r="N12"/>
  <c r="N13"/>
  <c r="N14"/>
  <c r="N16"/>
  <c r="N17"/>
  <c r="N18"/>
  <c r="N19"/>
  <c r="N20"/>
  <c r="N21"/>
  <c r="N22"/>
  <c r="M32"/>
  <c r="M10"/>
  <c r="M11"/>
  <c r="M12"/>
  <c r="M13"/>
  <c r="M14"/>
  <c r="M15"/>
  <c r="M16"/>
  <c r="M17"/>
  <c r="M18"/>
  <c r="M19"/>
  <c r="M20"/>
  <c r="M21"/>
  <c r="M22"/>
  <c r="M23"/>
  <c r="M24"/>
  <c r="M25"/>
  <c r="M26"/>
  <c r="M27"/>
  <c r="M28"/>
  <c r="M29"/>
  <c r="M30"/>
  <c r="M31"/>
  <c r="L10"/>
  <c r="L11"/>
  <c r="L12"/>
  <c r="L13"/>
  <c r="L14"/>
  <c r="L15"/>
  <c r="L16"/>
  <c r="L17"/>
  <c r="L18"/>
  <c r="L19"/>
  <c r="L20"/>
  <c r="L21"/>
  <c r="L22"/>
  <c r="L23"/>
  <c r="L24"/>
  <c r="L25"/>
  <c r="L26"/>
  <c r="L27"/>
  <c r="L28"/>
  <c r="L29"/>
  <c r="L30"/>
  <c r="L31"/>
  <c r="L32"/>
  <c r="M9"/>
  <c r="I5"/>
  <c r="F5"/>
  <c r="C5"/>
  <c r="F6" i="7"/>
  <c r="H4" i="6"/>
  <c r="H3"/>
  <c r="H2"/>
  <c r="C8"/>
  <c r="F6" i="1" s="1"/>
  <c r="G3" i="7"/>
  <c r="G2"/>
  <c r="G1"/>
  <c r="L2" i="6" l="1"/>
  <c r="G6"/>
  <c r="J6"/>
  <c r="L6"/>
  <c r="C7"/>
  <c r="D7"/>
  <c r="E7"/>
  <c r="F7"/>
  <c r="G7"/>
  <c r="H7"/>
  <c r="I7"/>
  <c r="J7"/>
  <c r="K7"/>
  <c r="L7"/>
  <c r="M7"/>
  <c r="N7"/>
  <c r="K6" i="7"/>
  <c r="L6"/>
  <c r="O6" s="1"/>
  <c r="R6" s="1"/>
  <c r="J6"/>
  <c r="E3" i="1"/>
  <c r="D7" s="1"/>
  <c r="I6" i="7"/>
  <c r="G9"/>
  <c r="G10"/>
  <c r="G11"/>
  <c r="G12"/>
  <c r="G13"/>
  <c r="G14"/>
  <c r="G15"/>
  <c r="G16"/>
  <c r="G17"/>
  <c r="G18"/>
  <c r="G19"/>
  <c r="G20"/>
  <c r="G21"/>
  <c r="G22"/>
  <c r="G23"/>
  <c r="G24"/>
  <c r="G25"/>
  <c r="G26"/>
  <c r="G27"/>
  <c r="G28"/>
  <c r="G29"/>
  <c r="G30"/>
  <c r="G31"/>
  <c r="G8"/>
  <c r="G6"/>
  <c r="H6"/>
  <c r="C3" i="1"/>
  <c r="B29" i="7"/>
  <c r="B30"/>
  <c r="B31"/>
  <c r="B9"/>
  <c r="B10"/>
  <c r="B11"/>
  <c r="B12"/>
  <c r="B13"/>
  <c r="B14"/>
  <c r="B15"/>
  <c r="B16"/>
  <c r="B17"/>
  <c r="B18"/>
  <c r="B19"/>
  <c r="B20"/>
  <c r="B21"/>
  <c r="B22"/>
  <c r="B23"/>
  <c r="B24"/>
  <c r="B25"/>
  <c r="B26"/>
  <c r="B27"/>
  <c r="B28"/>
  <c r="B8"/>
  <c r="C6" l="1"/>
  <c r="M6"/>
  <c r="P6" s="1"/>
  <c r="D6"/>
  <c r="N6"/>
  <c r="Q6" s="1"/>
  <c r="E7" i="1"/>
  <c r="B8"/>
  <c r="B10"/>
  <c r="B12"/>
  <c r="B14"/>
  <c r="B16"/>
  <c r="B18"/>
  <c r="B20"/>
  <c r="B22"/>
  <c r="B24"/>
  <c r="B26"/>
  <c r="B28"/>
  <c r="B9"/>
  <c r="B11"/>
  <c r="B13"/>
  <c r="B15"/>
  <c r="B17"/>
  <c r="B19"/>
  <c r="B21"/>
  <c r="B23"/>
  <c r="B25"/>
  <c r="B27"/>
  <c r="B29"/>
  <c r="B7"/>
  <c r="B30"/>
  <c r="E6" i="7"/>
  <c r="E26" i="1"/>
  <c r="E18"/>
  <c r="E10"/>
  <c r="E30"/>
  <c r="E22"/>
  <c r="E14"/>
  <c r="E28"/>
  <c r="E24"/>
  <c r="E20"/>
  <c r="E16"/>
  <c r="E12"/>
  <c r="E8"/>
  <c r="E29"/>
  <c r="E27"/>
  <c r="E25"/>
  <c r="E23"/>
  <c r="E21"/>
  <c r="E19"/>
  <c r="E17"/>
  <c r="E15"/>
  <c r="E13"/>
  <c r="E11"/>
  <c r="E9"/>
  <c r="H8" i="7"/>
  <c r="D29" i="1"/>
  <c r="H30" i="7" s="1"/>
  <c r="D27" i="1"/>
  <c r="H28" i="7" s="1"/>
  <c r="D25" i="1"/>
  <c r="H26" i="7" s="1"/>
  <c r="D23" i="1"/>
  <c r="H24" i="7" s="1"/>
  <c r="D21" i="1"/>
  <c r="H22" i="7" s="1"/>
  <c r="D19" i="1"/>
  <c r="H20" i="7" s="1"/>
  <c r="D17" i="1"/>
  <c r="H18" i="7" s="1"/>
  <c r="D15" i="1"/>
  <c r="H16" i="7" s="1"/>
  <c r="D13" i="1"/>
  <c r="H14" i="7" s="1"/>
  <c r="D11" i="1"/>
  <c r="H12" i="7" s="1"/>
  <c r="D9" i="1"/>
  <c r="H10" i="7" s="1"/>
  <c r="D30" i="1"/>
  <c r="H31" i="7" s="1"/>
  <c r="D28" i="1"/>
  <c r="H29" i="7" s="1"/>
  <c r="D26" i="1"/>
  <c r="H27" i="7" s="1"/>
  <c r="D24" i="1"/>
  <c r="H25" i="7" s="1"/>
  <c r="D22" i="1"/>
  <c r="H23" i="7" s="1"/>
  <c r="D20" i="1"/>
  <c r="H21" i="7" s="1"/>
  <c r="D18" i="1"/>
  <c r="H19" i="7" s="1"/>
  <c r="D16" i="1"/>
  <c r="H17" i="7" s="1"/>
  <c r="D14" i="1"/>
  <c r="H15" i="7" s="1"/>
  <c r="D12" i="1"/>
  <c r="H13" i="7" s="1"/>
  <c r="D10" i="1"/>
  <c r="H11" i="7" s="1"/>
  <c r="D8" i="1"/>
  <c r="H9" i="7" s="1"/>
  <c r="H8" i="1"/>
  <c r="H9"/>
  <c r="H10"/>
  <c r="H11"/>
  <c r="H12"/>
  <c r="H13"/>
  <c r="H14"/>
  <c r="H15"/>
  <c r="H16"/>
  <c r="H17"/>
  <c r="H18"/>
  <c r="H19"/>
  <c r="H20"/>
  <c r="H21"/>
  <c r="H22"/>
  <c r="H23"/>
  <c r="H24"/>
  <c r="H25"/>
  <c r="H26"/>
  <c r="H27"/>
  <c r="H28"/>
  <c r="H30"/>
  <c r="H7"/>
  <c r="G8"/>
  <c r="G9"/>
  <c r="G10"/>
  <c r="G11"/>
  <c r="G12"/>
  <c r="G13"/>
  <c r="G14"/>
  <c r="G15"/>
  <c r="G16"/>
  <c r="G17"/>
  <c r="G18"/>
  <c r="G19"/>
  <c r="G20"/>
  <c r="G21"/>
  <c r="G22"/>
  <c r="G23"/>
  <c r="G24"/>
  <c r="G25"/>
  <c r="G26"/>
  <c r="G27"/>
  <c r="G28"/>
  <c r="G29"/>
  <c r="G30"/>
  <c r="H29"/>
  <c r="N28" i="5"/>
  <c r="N27"/>
  <c r="N26"/>
  <c r="N25"/>
  <c r="N24"/>
  <c r="N23"/>
  <c r="N22"/>
  <c r="N21"/>
  <c r="N20"/>
  <c r="N19"/>
  <c r="N18"/>
  <c r="N17"/>
  <c r="N16"/>
  <c r="N15"/>
  <c r="N14"/>
  <c r="N13"/>
  <c r="N12"/>
  <c r="N11"/>
  <c r="N10"/>
  <c r="N9"/>
  <c r="N8"/>
  <c r="N7"/>
  <c r="N6"/>
  <c r="N5"/>
  <c r="R34" i="1"/>
  <c r="R33"/>
  <c r="Q33"/>
  <c r="I8" l="1"/>
  <c r="I9"/>
  <c r="I10"/>
  <c r="I11"/>
  <c r="I12"/>
  <c r="I13"/>
  <c r="I14"/>
  <c r="I15"/>
  <c r="I16"/>
  <c r="I17"/>
  <c r="I18"/>
  <c r="I19"/>
  <c r="I20"/>
  <c r="I21"/>
  <c r="I22"/>
  <c r="I23"/>
  <c r="I24"/>
  <c r="I25"/>
  <c r="I26"/>
  <c r="I27"/>
  <c r="I28"/>
  <c r="I29"/>
  <c r="I30"/>
  <c r="J6"/>
  <c r="I9" i="7"/>
  <c r="I10"/>
  <c r="I11"/>
  <c r="I12"/>
  <c r="I13"/>
  <c r="I14"/>
  <c r="I15"/>
  <c r="I16"/>
  <c r="I17"/>
  <c r="I18"/>
  <c r="I19"/>
  <c r="I20"/>
  <c r="I21"/>
  <c r="I22"/>
  <c r="I23"/>
  <c r="I24"/>
  <c r="I25"/>
  <c r="I26"/>
  <c r="I27"/>
  <c r="I28"/>
  <c r="I29"/>
  <c r="I30"/>
  <c r="I31"/>
  <c r="F9"/>
  <c r="F10"/>
  <c r="F11"/>
  <c r="F12"/>
  <c r="F13"/>
  <c r="F14"/>
  <c r="F15"/>
  <c r="F16"/>
  <c r="F17"/>
  <c r="F18"/>
  <c r="F19"/>
  <c r="F20"/>
  <c r="F21"/>
  <c r="F22"/>
  <c r="F23"/>
  <c r="F24"/>
  <c r="F25"/>
  <c r="F26"/>
  <c r="F27"/>
  <c r="F28"/>
  <c r="F29"/>
  <c r="F30"/>
  <c r="F31"/>
  <c r="F8"/>
  <c r="J7" l="1"/>
  <c r="G8" i="6"/>
  <c r="K8" i="1"/>
  <c r="H10" i="6" s="1"/>
  <c r="K30" i="1"/>
  <c r="H32" i="6" s="1"/>
  <c r="K28" i="1"/>
  <c r="K26"/>
  <c r="K24"/>
  <c r="K22"/>
  <c r="K20"/>
  <c r="K18"/>
  <c r="H20" i="6" s="1"/>
  <c r="K16" i="1"/>
  <c r="K14"/>
  <c r="K12"/>
  <c r="K10"/>
  <c r="K29"/>
  <c r="K27"/>
  <c r="K25"/>
  <c r="K23"/>
  <c r="K21"/>
  <c r="K19"/>
  <c r="K17"/>
  <c r="K15"/>
  <c r="K13"/>
  <c r="K11"/>
  <c r="K9"/>
  <c r="F8"/>
  <c r="C10" i="6" s="1"/>
  <c r="F9" i="1"/>
  <c r="C11" i="6" s="1"/>
  <c r="F10" i="1"/>
  <c r="C12" i="6" s="1"/>
  <c r="F11" i="1"/>
  <c r="C13" i="6" s="1"/>
  <c r="F12" i="1"/>
  <c r="C14" i="6" s="1"/>
  <c r="F13" i="1"/>
  <c r="C15" i="6" s="1"/>
  <c r="F14" i="1"/>
  <c r="C16" i="6" s="1"/>
  <c r="F15" i="1"/>
  <c r="C17" i="6" s="1"/>
  <c r="F16" i="1"/>
  <c r="C18" i="6" s="1"/>
  <c r="F17" i="1"/>
  <c r="C19" i="6" s="1"/>
  <c r="F18" i="1"/>
  <c r="C20" i="6" s="1"/>
  <c r="F19" i="1"/>
  <c r="C21" i="6" s="1"/>
  <c r="F20" i="1"/>
  <c r="C22" i="6" s="1"/>
  <c r="F21" i="1"/>
  <c r="C23" i="6" s="1"/>
  <c r="F22" i="1"/>
  <c r="C24" i="6" s="1"/>
  <c r="F23" i="1"/>
  <c r="C25" i="6" s="1"/>
  <c r="F24" i="1"/>
  <c r="C26" i="6" s="1"/>
  <c r="F25" i="1"/>
  <c r="C27" i="6" s="1"/>
  <c r="F26" i="1"/>
  <c r="C28" i="6" s="1"/>
  <c r="F27" i="1"/>
  <c r="C29" i="6" s="1"/>
  <c r="F28" i="1"/>
  <c r="C30" i="6" s="1"/>
  <c r="F29" i="1"/>
  <c r="C31" i="6" s="1"/>
  <c r="F30" i="1"/>
  <c r="C32" i="6" s="1"/>
  <c r="F7" i="1"/>
  <c r="C9" i="6" s="1"/>
  <c r="K16" i="7" l="1"/>
  <c r="N16" s="1"/>
  <c r="Q16" s="1"/>
  <c r="H17" i="6"/>
  <c r="K24" i="7"/>
  <c r="N24" s="1"/>
  <c r="Q24" s="1"/>
  <c r="H25" i="6"/>
  <c r="K10" i="7"/>
  <c r="N10" s="1"/>
  <c r="Q10" s="1"/>
  <c r="H11" i="6"/>
  <c r="K14" i="7"/>
  <c r="N14" s="1"/>
  <c r="Q14" s="1"/>
  <c r="H15" i="6"/>
  <c r="K18" i="7"/>
  <c r="N18" s="1"/>
  <c r="Q18" s="1"/>
  <c r="H19" i="6"/>
  <c r="K22" i="7"/>
  <c r="N22" s="1"/>
  <c r="Q22" s="1"/>
  <c r="H23" i="6"/>
  <c r="K26" i="7"/>
  <c r="N26" s="1"/>
  <c r="Q26" s="1"/>
  <c r="H27" i="6"/>
  <c r="K30" i="7"/>
  <c r="N30" s="1"/>
  <c r="Q30" s="1"/>
  <c r="H31" i="6"/>
  <c r="K13" i="7"/>
  <c r="N13" s="1"/>
  <c r="Q13" s="1"/>
  <c r="H14" i="6"/>
  <c r="K17" i="7"/>
  <c r="N17" s="1"/>
  <c r="Q17" s="1"/>
  <c r="H18" i="6"/>
  <c r="K21" i="7"/>
  <c r="N21" s="1"/>
  <c r="Q21" s="1"/>
  <c r="H22" i="6"/>
  <c r="K25" i="7"/>
  <c r="N25" s="1"/>
  <c r="Q25" s="1"/>
  <c r="H26" i="6"/>
  <c r="K29" i="7"/>
  <c r="N29" s="1"/>
  <c r="Q29" s="1"/>
  <c r="H30" i="6"/>
  <c r="K12" i="7"/>
  <c r="N12" s="1"/>
  <c r="Q12" s="1"/>
  <c r="H13" i="6"/>
  <c r="K20" i="7"/>
  <c r="N20" s="1"/>
  <c r="Q20" s="1"/>
  <c r="H21" i="6"/>
  <c r="K28" i="7"/>
  <c r="N28" s="1"/>
  <c r="Q28" s="1"/>
  <c r="H29" i="6"/>
  <c r="K11" i="7"/>
  <c r="N11" s="1"/>
  <c r="Q11" s="1"/>
  <c r="H12" i="6"/>
  <c r="K15" i="7"/>
  <c r="N15" s="1"/>
  <c r="Q15" s="1"/>
  <c r="H16" i="6"/>
  <c r="K23" i="7"/>
  <c r="N23" s="1"/>
  <c r="Q23" s="1"/>
  <c r="H24" i="6"/>
  <c r="K27" i="7"/>
  <c r="N27" s="1"/>
  <c r="Q27" s="1"/>
  <c r="H28" i="6"/>
  <c r="M8" i="1"/>
  <c r="J10" i="6" s="1"/>
  <c r="K9" i="7"/>
  <c r="N9" s="1"/>
  <c r="Q9" s="1"/>
  <c r="L18" i="1"/>
  <c r="K19" i="7"/>
  <c r="N19" s="1"/>
  <c r="Q19" s="1"/>
  <c r="L30" i="1"/>
  <c r="K31" i="7"/>
  <c r="N31" s="1"/>
  <c r="Q31" s="1"/>
  <c r="N18" i="1"/>
  <c r="K20" i="6" s="1"/>
  <c r="U11" i="1"/>
  <c r="M11"/>
  <c r="J13" i="6" s="1"/>
  <c r="U19" i="1"/>
  <c r="M19"/>
  <c r="J21" i="6" s="1"/>
  <c r="U27" i="1"/>
  <c r="M27"/>
  <c r="J29" i="6" s="1"/>
  <c r="U10" i="1"/>
  <c r="M10"/>
  <c r="J12" i="6" s="1"/>
  <c r="U14" i="1"/>
  <c r="M14"/>
  <c r="J16" i="6" s="1"/>
  <c r="U22" i="1"/>
  <c r="M22"/>
  <c r="J24" i="6" s="1"/>
  <c r="U26" i="1"/>
  <c r="M26"/>
  <c r="J28" i="6" s="1"/>
  <c r="U9" i="1"/>
  <c r="M9"/>
  <c r="J11" i="6" s="1"/>
  <c r="U13" i="1"/>
  <c r="M13"/>
  <c r="J15" i="6" s="1"/>
  <c r="U17" i="1"/>
  <c r="M17"/>
  <c r="J19" i="6" s="1"/>
  <c r="U21" i="1"/>
  <c r="M21"/>
  <c r="J23" i="6" s="1"/>
  <c r="U25" i="1"/>
  <c r="M25"/>
  <c r="J27" i="6" s="1"/>
  <c r="U29" i="1"/>
  <c r="M29"/>
  <c r="J31" i="6" s="1"/>
  <c r="U12" i="1"/>
  <c r="M12"/>
  <c r="J14" i="6" s="1"/>
  <c r="U16" i="1"/>
  <c r="M16"/>
  <c r="J18" i="6" s="1"/>
  <c r="U20" i="1"/>
  <c r="M20"/>
  <c r="J22" i="6" s="1"/>
  <c r="U24" i="1"/>
  <c r="M24"/>
  <c r="J26" i="6" s="1"/>
  <c r="U28" i="1"/>
  <c r="M28"/>
  <c r="J30" i="6" s="1"/>
  <c r="U8" i="1"/>
  <c r="L9"/>
  <c r="L13"/>
  <c r="L17"/>
  <c r="L21"/>
  <c r="L25"/>
  <c r="L29"/>
  <c r="L10"/>
  <c r="L14"/>
  <c r="L22"/>
  <c r="L26"/>
  <c r="U15"/>
  <c r="M15"/>
  <c r="J17" i="6" s="1"/>
  <c r="U23" i="1"/>
  <c r="M23"/>
  <c r="J25" i="6" s="1"/>
  <c r="U18" i="1"/>
  <c r="M18"/>
  <c r="J20" i="6" s="1"/>
  <c r="U30" i="1"/>
  <c r="M30"/>
  <c r="J32" i="6" s="1"/>
  <c r="L11" i="1"/>
  <c r="L15"/>
  <c r="L19"/>
  <c r="L23"/>
  <c r="L27"/>
  <c r="L8"/>
  <c r="L12"/>
  <c r="L16"/>
  <c r="L20"/>
  <c r="L24"/>
  <c r="L28"/>
  <c r="P29"/>
  <c r="J29"/>
  <c r="G31" i="6" s="1"/>
  <c r="P27" i="1"/>
  <c r="J27"/>
  <c r="G29" i="6" s="1"/>
  <c r="P23" i="1"/>
  <c r="J23"/>
  <c r="G25" i="6" s="1"/>
  <c r="P21" i="1"/>
  <c r="J21"/>
  <c r="G23" i="6" s="1"/>
  <c r="P19" i="1"/>
  <c r="J19"/>
  <c r="G21" i="6" s="1"/>
  <c r="P17" i="1"/>
  <c r="J17"/>
  <c r="G19" i="6" s="1"/>
  <c r="P15" i="1"/>
  <c r="J15"/>
  <c r="G17" i="6" s="1"/>
  <c r="P13" i="1"/>
  <c r="J13"/>
  <c r="G15" i="6" s="1"/>
  <c r="P9" i="1"/>
  <c r="J9"/>
  <c r="G11" i="6" s="1"/>
  <c r="J30" i="1"/>
  <c r="G32" i="6" s="1"/>
  <c r="P30" i="1"/>
  <c r="J28"/>
  <c r="G30" i="6" s="1"/>
  <c r="P28" i="1"/>
  <c r="J26"/>
  <c r="G28" i="6" s="1"/>
  <c r="P26" i="1"/>
  <c r="J24"/>
  <c r="G26" i="6" s="1"/>
  <c r="P24" i="1"/>
  <c r="J22"/>
  <c r="G24" i="6" s="1"/>
  <c r="P22" i="1"/>
  <c r="J20"/>
  <c r="G22" i="6" s="1"/>
  <c r="P20" i="1"/>
  <c r="J18"/>
  <c r="G20" i="6" s="1"/>
  <c r="P18" i="1"/>
  <c r="P16"/>
  <c r="J16"/>
  <c r="G18" i="6" s="1"/>
  <c r="P14" i="1"/>
  <c r="J14"/>
  <c r="G16" i="6" s="1"/>
  <c r="P12" i="1"/>
  <c r="J12"/>
  <c r="G14" i="6" s="1"/>
  <c r="P10" i="1"/>
  <c r="J10"/>
  <c r="G12" i="6" s="1"/>
  <c r="P8" i="1"/>
  <c r="J8"/>
  <c r="G10" i="6" s="1"/>
  <c r="P25" i="1"/>
  <c r="J25"/>
  <c r="G27" i="6" s="1"/>
  <c r="P11" i="1"/>
  <c r="J11"/>
  <c r="G13" i="6" s="1"/>
  <c r="L29" i="7" l="1"/>
  <c r="O29" s="1"/>
  <c r="R29" s="1"/>
  <c r="I30" i="6"/>
  <c r="L21" i="7"/>
  <c r="O21" s="1"/>
  <c r="R21" s="1"/>
  <c r="I22" i="6"/>
  <c r="L13" i="7"/>
  <c r="O13" s="1"/>
  <c r="R13" s="1"/>
  <c r="I14" i="6"/>
  <c r="L28" i="7"/>
  <c r="O28" s="1"/>
  <c r="R28" s="1"/>
  <c r="I29" i="6"/>
  <c r="L20" i="7"/>
  <c r="O20" s="1"/>
  <c r="R20" s="1"/>
  <c r="I21" i="6"/>
  <c r="L12" i="7"/>
  <c r="O12" s="1"/>
  <c r="R12" s="1"/>
  <c r="I13" i="6"/>
  <c r="L23" i="7"/>
  <c r="O23" s="1"/>
  <c r="R23" s="1"/>
  <c r="I24" i="6"/>
  <c r="L11" i="7"/>
  <c r="O11" s="1"/>
  <c r="R11" s="1"/>
  <c r="I12" i="6"/>
  <c r="L26" i="7"/>
  <c r="O26" s="1"/>
  <c r="R26" s="1"/>
  <c r="I27" i="6"/>
  <c r="L18" i="7"/>
  <c r="O18" s="1"/>
  <c r="R18" s="1"/>
  <c r="I19" i="6"/>
  <c r="L10" i="7"/>
  <c r="O10" s="1"/>
  <c r="R10" s="1"/>
  <c r="I11" i="6"/>
  <c r="L31" i="7"/>
  <c r="O31" s="1"/>
  <c r="R31" s="1"/>
  <c r="I32" i="6"/>
  <c r="L19" i="7"/>
  <c r="O19" s="1"/>
  <c r="R19" s="1"/>
  <c r="I20" i="6"/>
  <c r="L25" i="7"/>
  <c r="O25" s="1"/>
  <c r="R25" s="1"/>
  <c r="I26" i="6"/>
  <c r="L17" i="7"/>
  <c r="O17" s="1"/>
  <c r="R17" s="1"/>
  <c r="I18" i="6"/>
  <c r="L9" i="7"/>
  <c r="O9" s="1"/>
  <c r="R9" s="1"/>
  <c r="I10" i="6"/>
  <c r="L24" i="7"/>
  <c r="O24" s="1"/>
  <c r="R24" s="1"/>
  <c r="I25" i="6"/>
  <c r="L16" i="7"/>
  <c r="O16" s="1"/>
  <c r="R16" s="1"/>
  <c r="I17" i="6"/>
  <c r="L27" i="7"/>
  <c r="O27" s="1"/>
  <c r="R27" s="1"/>
  <c r="I28" i="6"/>
  <c r="L15" i="7"/>
  <c r="O15" s="1"/>
  <c r="R15" s="1"/>
  <c r="I16" i="6"/>
  <c r="L30" i="7"/>
  <c r="O30" s="1"/>
  <c r="R30" s="1"/>
  <c r="I31" i="6"/>
  <c r="L22" i="7"/>
  <c r="O22" s="1"/>
  <c r="R22" s="1"/>
  <c r="I23" i="6"/>
  <c r="L14" i="7"/>
  <c r="O14" s="1"/>
  <c r="R14" s="1"/>
  <c r="I15" i="6"/>
  <c r="N30" i="1"/>
  <c r="K32" i="6" s="1"/>
  <c r="X18" i="1"/>
  <c r="Z18" s="1"/>
  <c r="X30"/>
  <c r="Y30" s="1"/>
  <c r="R18"/>
  <c r="T18" s="1"/>
  <c r="J19" i="7"/>
  <c r="M19" s="1"/>
  <c r="P19" s="1"/>
  <c r="R22" i="1"/>
  <c r="T22" s="1"/>
  <c r="J23" i="7"/>
  <c r="M23" s="1"/>
  <c r="P23" s="1"/>
  <c r="R26" i="1"/>
  <c r="T26" s="1"/>
  <c r="J27" i="7"/>
  <c r="M27" s="1"/>
  <c r="P27" s="1"/>
  <c r="R30" i="1"/>
  <c r="T30" s="1"/>
  <c r="J31" i="7"/>
  <c r="M31" s="1"/>
  <c r="P31" s="1"/>
  <c r="R11" i="1"/>
  <c r="T11" s="1"/>
  <c r="J12" i="7"/>
  <c r="M12" s="1"/>
  <c r="P12" s="1"/>
  <c r="R25" i="1"/>
  <c r="T25" s="1"/>
  <c r="J26" i="7"/>
  <c r="M26" s="1"/>
  <c r="P26" s="1"/>
  <c r="R8" i="1"/>
  <c r="T8" s="1"/>
  <c r="J9" i="7"/>
  <c r="M9" s="1"/>
  <c r="P9" s="1"/>
  <c r="R10" i="1"/>
  <c r="T10" s="1"/>
  <c r="J11" i="7"/>
  <c r="M11" s="1"/>
  <c r="P11" s="1"/>
  <c r="R12" i="1"/>
  <c r="T12" s="1"/>
  <c r="J13" i="7"/>
  <c r="M13" s="1"/>
  <c r="P13" s="1"/>
  <c r="R14" i="1"/>
  <c r="T14" s="1"/>
  <c r="J15" i="7"/>
  <c r="M15" s="1"/>
  <c r="P15" s="1"/>
  <c r="R16" i="1"/>
  <c r="T16" s="1"/>
  <c r="J17" i="7"/>
  <c r="M17" s="1"/>
  <c r="P17" s="1"/>
  <c r="R9" i="1"/>
  <c r="T9" s="1"/>
  <c r="J10" i="7"/>
  <c r="M10" s="1"/>
  <c r="P10" s="1"/>
  <c r="R13" i="1"/>
  <c r="T13" s="1"/>
  <c r="J14" i="7"/>
  <c r="M14" s="1"/>
  <c r="P14" s="1"/>
  <c r="R15" i="1"/>
  <c r="T15" s="1"/>
  <c r="J16" i="7"/>
  <c r="M16" s="1"/>
  <c r="P16" s="1"/>
  <c r="R17" i="1"/>
  <c r="T17" s="1"/>
  <c r="J18" i="7"/>
  <c r="M18" s="1"/>
  <c r="P18" s="1"/>
  <c r="R19" i="1"/>
  <c r="T19" s="1"/>
  <c r="J20" i="7"/>
  <c r="M20" s="1"/>
  <c r="P20" s="1"/>
  <c r="R21" i="1"/>
  <c r="T21" s="1"/>
  <c r="J22" i="7"/>
  <c r="M22" s="1"/>
  <c r="P22" s="1"/>
  <c r="R23" i="1"/>
  <c r="T23" s="1"/>
  <c r="J24" i="7"/>
  <c r="M24" s="1"/>
  <c r="P24" s="1"/>
  <c r="R27" i="1"/>
  <c r="T27" s="1"/>
  <c r="J28" i="7"/>
  <c r="M28" s="1"/>
  <c r="P28" s="1"/>
  <c r="R29" i="1"/>
  <c r="T29" s="1"/>
  <c r="J30" i="7"/>
  <c r="M30" s="1"/>
  <c r="P30" s="1"/>
  <c r="R20" i="1"/>
  <c r="T20" s="1"/>
  <c r="J21" i="7"/>
  <c r="M21" s="1"/>
  <c r="P21" s="1"/>
  <c r="R24" i="1"/>
  <c r="T24" s="1"/>
  <c r="J25" i="7"/>
  <c r="M25" s="1"/>
  <c r="P25" s="1"/>
  <c r="R28" i="1"/>
  <c r="T28" s="1"/>
  <c r="J29" i="7"/>
  <c r="M29" s="1"/>
  <c r="P29" s="1"/>
  <c r="Y18" i="1"/>
  <c r="V8"/>
  <c r="W8"/>
  <c r="V28"/>
  <c r="W28"/>
  <c r="V24"/>
  <c r="W24"/>
  <c r="V20"/>
  <c r="W20"/>
  <c r="V16"/>
  <c r="W16"/>
  <c r="V12"/>
  <c r="W12"/>
  <c r="V29"/>
  <c r="W29"/>
  <c r="V25"/>
  <c r="W25"/>
  <c r="V21"/>
  <c r="W21"/>
  <c r="V17"/>
  <c r="W17"/>
  <c r="V13"/>
  <c r="W13"/>
  <c r="V9"/>
  <c r="W9"/>
  <c r="V26"/>
  <c r="W26"/>
  <c r="V22"/>
  <c r="W22"/>
  <c r="V14"/>
  <c r="W14"/>
  <c r="V10"/>
  <c r="W10"/>
  <c r="V27"/>
  <c r="W27"/>
  <c r="V19"/>
  <c r="W19"/>
  <c r="V11"/>
  <c r="W11"/>
  <c r="V30"/>
  <c r="W30"/>
  <c r="V18"/>
  <c r="W18"/>
  <c r="V23"/>
  <c r="W23"/>
  <c r="V15"/>
  <c r="W15"/>
  <c r="N28"/>
  <c r="K30" i="6" s="1"/>
  <c r="X28" i="1"/>
  <c r="N12"/>
  <c r="K14" i="6" s="1"/>
  <c r="X12" i="1"/>
  <c r="N19"/>
  <c r="K21" i="6" s="1"/>
  <c r="X19" i="1"/>
  <c r="N24"/>
  <c r="K26" i="6" s="1"/>
  <c r="X24" i="1"/>
  <c r="N16"/>
  <c r="K18" i="6" s="1"/>
  <c r="X16" i="1"/>
  <c r="N8"/>
  <c r="K10" i="6" s="1"/>
  <c r="X8" i="1"/>
  <c r="N23"/>
  <c r="K25" i="6" s="1"/>
  <c r="X23" i="1"/>
  <c r="N15"/>
  <c r="K17" i="6" s="1"/>
  <c r="X15" i="1"/>
  <c r="N26"/>
  <c r="K28" i="6" s="1"/>
  <c r="X26" i="1"/>
  <c r="N14"/>
  <c r="K16" i="6" s="1"/>
  <c r="X14" i="1"/>
  <c r="N29"/>
  <c r="K31" i="6" s="1"/>
  <c r="X29" i="1"/>
  <c r="N21"/>
  <c r="K23" i="6" s="1"/>
  <c r="X21" i="1"/>
  <c r="N13"/>
  <c r="K15" i="6" s="1"/>
  <c r="X13" i="1"/>
  <c r="N20"/>
  <c r="K22" i="6" s="1"/>
  <c r="X20" i="1"/>
  <c r="N27"/>
  <c r="K29" i="6" s="1"/>
  <c r="X27" i="1"/>
  <c r="N11"/>
  <c r="K13" i="6" s="1"/>
  <c r="X11" i="1"/>
  <c r="N22"/>
  <c r="K24" i="6" s="1"/>
  <c r="X22" i="1"/>
  <c r="N10"/>
  <c r="K12" i="6" s="1"/>
  <c r="X10" i="1"/>
  <c r="N25"/>
  <c r="K27" i="6" s="1"/>
  <c r="X25" i="1"/>
  <c r="N17"/>
  <c r="K19" i="6" s="1"/>
  <c r="X17" i="1"/>
  <c r="N9"/>
  <c r="K11" i="6" s="1"/>
  <c r="X9" i="1"/>
  <c r="O8"/>
  <c r="Q8"/>
  <c r="O12"/>
  <c r="Q12"/>
  <c r="O16"/>
  <c r="Q16"/>
  <c r="O25"/>
  <c r="Q25"/>
  <c r="N27" i="6" s="1"/>
  <c r="O10" i="1"/>
  <c r="Q10"/>
  <c r="O14"/>
  <c r="Q14"/>
  <c r="O18"/>
  <c r="Q18"/>
  <c r="O22"/>
  <c r="Q22"/>
  <c r="N24" i="6" s="1"/>
  <c r="O26" i="1"/>
  <c r="Q26"/>
  <c r="N28" i="6" s="1"/>
  <c r="O30" i="1"/>
  <c r="Q30"/>
  <c r="N32" i="6" s="1"/>
  <c r="O13" i="1"/>
  <c r="Q13"/>
  <c r="N15" i="6" s="1"/>
  <c r="O17" i="1"/>
  <c r="Q17"/>
  <c r="O21"/>
  <c r="Q21"/>
  <c r="N23" i="6" s="1"/>
  <c r="O27" i="1"/>
  <c r="Q27"/>
  <c r="N29" i="6" s="1"/>
  <c r="O11" i="1"/>
  <c r="Q11"/>
  <c r="O20"/>
  <c r="Q20"/>
  <c r="O24"/>
  <c r="Q24"/>
  <c r="N26" i="6" s="1"/>
  <c r="O28" i="1"/>
  <c r="Q28"/>
  <c r="N30" i="6" s="1"/>
  <c r="O9" i="1"/>
  <c r="Q9"/>
  <c r="O15"/>
  <c r="Q15"/>
  <c r="O19"/>
  <c r="Q19"/>
  <c r="O23"/>
  <c r="Q23"/>
  <c r="N25" i="6" s="1"/>
  <c r="O29" i="1"/>
  <c r="Q29"/>
  <c r="N31" i="6" s="1"/>
  <c r="S22" i="1" l="1"/>
  <c r="Z30"/>
  <c r="S30"/>
  <c r="S10"/>
  <c r="S26"/>
  <c r="S18"/>
  <c r="S25"/>
  <c r="S16"/>
  <c r="S8"/>
  <c r="S11"/>
  <c r="S14"/>
  <c r="S21"/>
  <c r="S12"/>
  <c r="S20"/>
  <c r="S13"/>
  <c r="S28"/>
  <c r="S27"/>
  <c r="S17"/>
  <c r="S9"/>
  <c r="S24"/>
  <c r="S29"/>
  <c r="S23"/>
  <c r="S19"/>
  <c r="S15"/>
  <c r="Y9"/>
  <c r="Z9"/>
  <c r="Y17"/>
  <c r="Z17"/>
  <c r="Y25"/>
  <c r="Z25"/>
  <c r="Y10"/>
  <c r="Z10"/>
  <c r="Y22"/>
  <c r="Z22"/>
  <c r="Y11"/>
  <c r="Z11"/>
  <c r="Y27"/>
  <c r="Z27"/>
  <c r="Y20"/>
  <c r="Z20"/>
  <c r="Y13"/>
  <c r="Z13"/>
  <c r="Y21"/>
  <c r="Z21"/>
  <c r="Y29"/>
  <c r="Z29"/>
  <c r="Y14"/>
  <c r="Z14"/>
  <c r="Y26"/>
  <c r="Z26"/>
  <c r="Y15"/>
  <c r="Z15"/>
  <c r="Y23"/>
  <c r="Z23"/>
  <c r="Y8"/>
  <c r="Z8"/>
  <c r="Y16"/>
  <c r="Z16"/>
  <c r="Y24"/>
  <c r="Z24"/>
  <c r="Y19"/>
  <c r="Z19"/>
  <c r="Y12"/>
  <c r="Z12"/>
  <c r="Y28"/>
  <c r="Z28"/>
  <c r="I8" i="7"/>
  <c r="K7" i="1" l="1"/>
  <c r="J32"/>
  <c r="J7"/>
  <c r="G9" i="6" s="1"/>
  <c r="L7" i="1" l="1"/>
  <c r="I9" i="6" s="1"/>
  <c r="H9"/>
  <c r="N7" i="1"/>
  <c r="K9" i="6" s="1"/>
  <c r="J8" i="7"/>
  <c r="M8" s="1"/>
  <c r="K8"/>
  <c r="N8" s="1"/>
  <c r="P7" i="1"/>
  <c r="U7"/>
  <c r="M7"/>
  <c r="J9" i="6" s="1"/>
  <c r="N32" i="7" l="1"/>
  <c r="Q32" s="1"/>
  <c r="Q8"/>
  <c r="M32"/>
  <c r="P32" s="1"/>
  <c r="P8"/>
  <c r="L8"/>
  <c r="O8" s="1"/>
  <c r="U31" i="1"/>
  <c r="V7"/>
  <c r="V31" s="1"/>
  <c r="W7"/>
  <c r="W31" s="1"/>
  <c r="O32" i="7" l="1"/>
  <c r="R8"/>
  <c r="R32" l="1"/>
  <c r="M3" s="1"/>
  <c r="M1"/>
  <c r="G7" i="1"/>
  <c r="O7" s="1"/>
  <c r="L9" i="6" s="1"/>
  <c r="I7" i="1" l="1"/>
  <c r="R7"/>
  <c r="R31" l="1"/>
  <c r="S7"/>
  <c r="S31" s="1"/>
  <c r="T7"/>
  <c r="T31" s="1"/>
  <c r="Q7"/>
  <c r="N9" i="6" s="1"/>
  <c r="X7" i="1"/>
  <c r="Y7" l="1"/>
  <c r="Y31" s="1"/>
  <c r="Z7"/>
  <c r="Z31" s="1"/>
  <c r="X31"/>
</calcChain>
</file>

<file path=xl/sharedStrings.xml><?xml version="1.0" encoding="utf-8"?>
<sst xmlns="http://schemas.openxmlformats.org/spreadsheetml/2006/main" count="228" uniqueCount="140">
  <si>
    <t>Motor Size</t>
  </si>
  <si>
    <t>Hours of Operation</t>
  </si>
  <si>
    <t>Refrigeration</t>
  </si>
  <si>
    <r>
      <rPr>
        <b/>
        <sz val="11"/>
        <color theme="1"/>
        <rFont val="Calibri"/>
        <family val="2"/>
        <scheme val="minor"/>
      </rPr>
      <t>New Motor Efficiency</t>
    </r>
    <r>
      <rPr>
        <sz val="11"/>
        <color theme="1"/>
        <rFont val="Calibri"/>
        <family val="2"/>
        <scheme val="minor"/>
      </rPr>
      <t xml:space="preserve"> Number of Poles</t>
    </r>
  </si>
  <si>
    <t>Electricity Cost €/kWh</t>
  </si>
  <si>
    <t>Average Run Hours</t>
  </si>
  <si>
    <t>Average Load Factors</t>
  </si>
  <si>
    <t>VSD</t>
  </si>
  <si>
    <t>EE Motor</t>
  </si>
  <si>
    <t xml:space="preserve">VSD and EE Motor </t>
  </si>
  <si>
    <t>Simple Payback (Years)</t>
  </si>
  <si>
    <t>Electricity Savings (kWh)</t>
  </si>
  <si>
    <t>End Use</t>
  </si>
  <si>
    <t>Pumps</t>
  </si>
  <si>
    <t>Fans</t>
  </si>
  <si>
    <t>Air Compressors</t>
  </si>
  <si>
    <t>Conveyors</t>
  </si>
  <si>
    <t>Other Motors</t>
  </si>
  <si>
    <t>Average VSD Savings</t>
  </si>
  <si>
    <t>0.75    €331.00</t>
  </si>
  <si>
    <t>1.1    €465.00</t>
  </si>
  <si>
    <t>1.5    €489.00</t>
  </si>
  <si>
    <t>2.2    €559.00</t>
  </si>
  <si>
    <t>3.0    €626.00</t>
  </si>
  <si>
    <t>4.0    €740.00</t>
  </si>
  <si>
    <t>5.5    €910.00</t>
  </si>
  <si>
    <t>7.5    €1015.00</t>
  </si>
  <si>
    <t>11    €1479.00</t>
  </si>
  <si>
    <t>15    €1660.00</t>
  </si>
  <si>
    <t>18.5    €2069</t>
  </si>
  <si>
    <t>22    €2434.00</t>
  </si>
  <si>
    <t>30    €3024.00</t>
  </si>
  <si>
    <t>37    €3905.00</t>
  </si>
  <si>
    <t>45    €4831.00</t>
  </si>
  <si>
    <t>55    €6034</t>
  </si>
  <si>
    <t>75    €7257.00</t>
  </si>
  <si>
    <t>90    €8481.00</t>
  </si>
  <si>
    <t>110    €11085.00</t>
  </si>
  <si>
    <t>132    €13505.00</t>
  </si>
  <si>
    <t>160    €16256.00</t>
  </si>
  <si>
    <t>185    €18733.00</t>
  </si>
  <si>
    <t>200    €20902.00</t>
  </si>
  <si>
    <t>225    €23467.00</t>
  </si>
  <si>
    <t>250    €25634.00</t>
  </si>
  <si>
    <t>280    €28199.00</t>
  </si>
  <si>
    <t>315    €31057.00</t>
  </si>
  <si>
    <t>355    €33326.00</t>
  </si>
  <si>
    <t>400    €35493.00</t>
  </si>
  <si>
    <t>Motor Retrofit Incentive Sheet</t>
  </si>
  <si>
    <t>Number of Poles</t>
  </si>
  <si>
    <t>Enter &gt;        A = 2             B = 4              C = 6</t>
  </si>
  <si>
    <t>Application</t>
  </si>
  <si>
    <t>Desired Payback &gt;</t>
  </si>
  <si>
    <t>ENTER &gt;                                   Pumps: Fans:   Air Compressors: Conveyors:Refrigeration</t>
  </si>
  <si>
    <t>Incentive €</t>
  </si>
  <si>
    <t>Rate %</t>
  </si>
  <si>
    <t>Motors</t>
  </si>
  <si>
    <t>Motors &amp; Drives</t>
  </si>
  <si>
    <t>% Energy Savings</t>
  </si>
  <si>
    <t>Incentive €/kW</t>
  </si>
  <si>
    <t>ABB</t>
  </si>
  <si>
    <t>Motor/VSD size kW</t>
  </si>
  <si>
    <t>Motor replacement cost €</t>
  </si>
  <si>
    <t>VSD replacement cost €</t>
  </si>
  <si>
    <t>Motor Labour costs €</t>
  </si>
  <si>
    <t>VSD Labour cost €</t>
  </si>
  <si>
    <t>Total</t>
  </si>
  <si>
    <t>TEC Brook Crompton</t>
  </si>
  <si>
    <t>Average VSD replacement cost €</t>
  </si>
  <si>
    <t>Average Motor replacement cost €</t>
  </si>
  <si>
    <t>Average Total</t>
  </si>
  <si>
    <t>Drives</t>
  </si>
  <si>
    <t>Brook Crompton</t>
  </si>
  <si>
    <t>Average</t>
  </si>
  <si>
    <t>Tertiary Sector</t>
  </si>
  <si>
    <t>Industry</t>
  </si>
  <si>
    <t>Based on Cooling Compressors</t>
  </si>
  <si>
    <t>Estimates</t>
  </si>
  <si>
    <t>Same as Tertiary</t>
  </si>
  <si>
    <t>High Efficiency (IE2)</t>
  </si>
  <si>
    <t>Premium Efficiency (IE3)</t>
  </si>
  <si>
    <t>Existing motor Efficiency</t>
  </si>
  <si>
    <t>Load Factor %</t>
  </si>
  <si>
    <t>VSD (Existing Motor)</t>
  </si>
  <si>
    <t>Retrofit Option</t>
  </si>
  <si>
    <t>Tertiary</t>
  </si>
  <si>
    <t>High</t>
  </si>
  <si>
    <t>Premium</t>
  </si>
  <si>
    <t>Quantity Installed</t>
  </si>
  <si>
    <t xml:space="preserve">Total Electricity Savings </t>
  </si>
  <si>
    <t>kW</t>
  </si>
  <si>
    <t>Operating Parameters</t>
  </si>
  <si>
    <t>Data Inputs are for CREAM coloured cells in each worksheet</t>
  </si>
  <si>
    <t>STEP 1 &gt;</t>
  </si>
  <si>
    <t>To commence the evaluation process, the following should be completed first.</t>
  </si>
  <si>
    <t>Company Name &gt;&gt;</t>
  </si>
  <si>
    <t>SEAI Sligo</t>
  </si>
  <si>
    <t>Building Name &gt;&gt;</t>
  </si>
  <si>
    <t>Office 1</t>
  </si>
  <si>
    <t>Project Reference &gt;&gt;</t>
  </si>
  <si>
    <t>Average Cost/kWh Electricity €</t>
  </si>
  <si>
    <t>Primary Energy Conversion Factor</t>
  </si>
  <si>
    <t>STEP 2 &gt;</t>
  </si>
  <si>
    <t>STEP 3 &gt;</t>
  </si>
  <si>
    <t>DISCLAIMER:&gt;</t>
  </si>
  <si>
    <t xml:space="preserve">Electric Motors and Variable Speed Drives (VSD) Evaluation Tool </t>
  </si>
  <si>
    <t>REFERENCES</t>
  </si>
  <si>
    <t xml:space="preserve">Total Primary Energy Savings </t>
  </si>
  <si>
    <t>Company &gt;</t>
  </si>
  <si>
    <t>Delivered Energy Savings (kWh)</t>
  </si>
  <si>
    <t>Building Name &gt;</t>
  </si>
  <si>
    <t>Project Reference &gt;</t>
  </si>
  <si>
    <t>Primary Energy Savings (kWh)</t>
  </si>
  <si>
    <t>Electric Motor and VSD Energy Savings Calculator</t>
  </si>
  <si>
    <r>
      <t>Replacement Costs</t>
    </r>
    <r>
      <rPr>
        <b/>
        <vertAlign val="superscript"/>
        <sz val="11"/>
        <color theme="1"/>
        <rFont val="Calibri"/>
        <family val="2"/>
        <scheme val="minor"/>
      </rPr>
      <t>3</t>
    </r>
    <r>
      <rPr>
        <b/>
        <sz val="11"/>
        <color theme="1"/>
        <rFont val="Calibri"/>
        <family val="2"/>
        <scheme val="minor"/>
      </rPr>
      <t xml:space="preserve"> €                 (One supplier)</t>
    </r>
  </si>
  <si>
    <r>
      <t>Replacement Costs</t>
    </r>
    <r>
      <rPr>
        <b/>
        <vertAlign val="superscript"/>
        <sz val="11"/>
        <color theme="1"/>
        <rFont val="Calibri"/>
        <family val="2"/>
        <scheme val="minor"/>
      </rPr>
      <t>3</t>
    </r>
  </si>
  <si>
    <t>Average Cost/kWh (€)</t>
  </si>
  <si>
    <t>Building&gt;</t>
  </si>
  <si>
    <t>Project Reference</t>
  </si>
  <si>
    <t>This tool is intended to provide indicative results, SEAI cannot be held liable for any losses incurred though its use. SEAI would welcome feedback on how these simple tools could be enhanced.</t>
  </si>
  <si>
    <t>New Motor Efficiency   %</t>
  </si>
  <si>
    <t>Sector &gt;</t>
  </si>
  <si>
    <t>Application &gt;</t>
  </si>
  <si>
    <t>Motor Efficiency &gt;</t>
  </si>
  <si>
    <t>Typical</t>
  </si>
  <si>
    <t>Annual Hours of operation are default from EMEEES</t>
  </si>
  <si>
    <r>
      <t xml:space="preserve">Click on the </t>
    </r>
    <r>
      <rPr>
        <b/>
        <sz val="12"/>
        <color rgb="FFFF0000"/>
        <rFont val="Arial"/>
        <family val="2"/>
      </rPr>
      <t>Energy Savings Calculator tab</t>
    </r>
    <r>
      <rPr>
        <b/>
        <sz val="10"/>
        <color rgb="FFFFFF00"/>
        <rFont val="Arial"/>
        <family val="2"/>
      </rPr>
      <t xml:space="preserve"> and select the SECTOR, EFFICIENCY GRADE and APPLICATION. Next complete the quantities of each upgrade installed.</t>
    </r>
  </si>
  <si>
    <r>
      <t xml:space="preserve">Proceed to the </t>
    </r>
    <r>
      <rPr>
        <b/>
        <sz val="12"/>
        <color rgb="FF92D050"/>
        <rFont val="Arial"/>
        <family val="2"/>
      </rPr>
      <t>Payback Calculator tab</t>
    </r>
    <r>
      <rPr>
        <b/>
        <sz val="10"/>
        <color rgb="FFFFFF00"/>
        <rFont val="Arial"/>
        <family val="2"/>
      </rPr>
      <t xml:space="preserve"> and complete column H with the latest retrofit cost per VSD and motor.</t>
    </r>
  </si>
  <si>
    <t>Replacement costs, no labour)</t>
  </si>
  <si>
    <t>Average budget prices for supply only (no installation costs) and could vary depending volume being purchased. Users are urged to update with current prices.</t>
  </si>
  <si>
    <t>Motor Size kW</t>
  </si>
  <si>
    <t>Select &gt; Variable &gt;</t>
  </si>
  <si>
    <t>Tertiary sector - The tertiary sector also known as the service sector or the service industry. Examples of public and commercial services and include: Government, Healthcare/hospitals, Public health, Waste disposal, Education, Banking, Insurance, Financial services, Legal services, Consulting, News media, Hospitality industry (e.g. restaurants, hotels, casinos), Tourism, Retail, sales, Franchising, Real estate and Sales.</t>
  </si>
  <si>
    <r>
      <t>This  excel tool developed by the Sustainable Energy Authority of Ireland (SEAI) is designed to assist organisations evaluate the benefits of retrofitting a range of high efficiency motors and/or VSDs. The methodologies used in the calculation engine are based on the EMEEES</t>
    </r>
    <r>
      <rPr>
        <vertAlign val="superscript"/>
        <sz val="10"/>
        <rFont val="Arial"/>
        <family val="2"/>
      </rPr>
      <t>1</t>
    </r>
    <r>
      <rPr>
        <sz val="10"/>
        <rFont val="Arial"/>
        <family val="2"/>
      </rPr>
      <t xml:space="preserve"> approach.  The EMEEES project funded by the EU whose objective was to develop harmonised evaluation methods to evaluate measures implemented to achive targtes set out in the energy end-use and energy services directive is the key component of this tool. Two calculation outputs are possible: Energy Savings Calculator - to provide an estimate of energy savings, and a Payback Calculator - to provide a simple payback and average payback of all measures included in the retrofit project. </t>
    </r>
  </si>
  <si>
    <t>It has been developed to aid organisations in estimating energy savings but obviously has limitations in terms of the variables and inputs used in the calculation process; in order to calculate more robust estimates and projections of energy and cost saving opportunities a detailed assessment of each upgrade is recommended.</t>
  </si>
  <si>
    <r>
      <t>Default</t>
    </r>
    <r>
      <rPr>
        <vertAlign val="superscript"/>
        <sz val="11"/>
        <color theme="1"/>
        <rFont val="Calibri"/>
        <family val="2"/>
        <scheme val="minor"/>
      </rPr>
      <t>4</t>
    </r>
  </si>
  <si>
    <t xml:space="preserve"> </t>
  </si>
  <si>
    <t>Default: Stefan Thomas (Wuppertal Institute), 2009: Overview of default values proposed in bottom-up case application, http://www.evaluate-energy-savings.eu/emeees/en/evaluation_tools/bottom-up.php</t>
  </si>
  <si>
    <r>
      <t>Evaluation and Monitoring for the EU Directive on Energy End-Use Efficiency and Energy Services. EEMEEES bottom-up case applications; 12: Energy Efficient Motors, 13 Variable Speed Drives, eERG Politecnico di Milano, Dipartimento di Energetica, Italy</t>
    </r>
    <r>
      <rPr>
        <sz val="11"/>
        <rFont val="Arial"/>
        <family val="2"/>
      </rPr>
      <t>, 2009. http://www.evaluate-energy-savings.eu/emeees/en/evaluation_tools/bottom-up.php</t>
    </r>
  </si>
  <si>
    <r>
      <t>Three retrofit options can be evaluated; VSDs installed on existing standard motors; motor replacement with either a High Efficiency (IE2) motor or Premium Efficiency (IE3) motor; and motor replacement incorporating VSD. Motor and equipment utilisation factors vary across sectors so users can also select from two sectors, Industry and Tertiary</t>
    </r>
    <r>
      <rPr>
        <vertAlign val="superscript"/>
        <sz val="10"/>
        <rFont val="Arial"/>
        <family val="2"/>
      </rPr>
      <t>2</t>
    </r>
    <r>
      <rPr>
        <sz val="10"/>
        <rFont val="Arial"/>
        <family val="2"/>
      </rPr>
      <t xml:space="preserve"> . In addition users can select up to six different applications with which to conduct the evaluation. These include: pumps, fans, air compressors, conveyors and refrigeration.</t>
    </r>
  </si>
</sst>
</file>

<file path=xl/styles.xml><?xml version="1.0" encoding="utf-8"?>
<styleSheet xmlns="http://schemas.openxmlformats.org/spreadsheetml/2006/main">
  <numFmts count="7">
    <numFmt numFmtId="44" formatCode="_-&quot;€&quot;* #,##0.00_-;\-&quot;€&quot;* #,##0.00_-;_-&quot;€&quot;* &quot;-&quot;??_-;_-@_-"/>
    <numFmt numFmtId="43" formatCode="_-* #,##0.00_-;\-* #,##0.00_-;_-* &quot;-&quot;??_-;_-@_-"/>
    <numFmt numFmtId="164" formatCode="0.0"/>
    <numFmt numFmtId="165" formatCode="_-&quot;€&quot;* #,##0_-;\-&quot;€&quot;* #,##0_-;_-&quot;€&quot;* &quot;-&quot;??_-;_-@_-"/>
    <numFmt numFmtId="166" formatCode="\€\ #,##0.00\ "/>
    <numFmt numFmtId="167" formatCode="_-* #,##0_-;\-* #,##0_-;_-* &quot;-&quot;??_-;_-@_-"/>
    <numFmt numFmtId="168" formatCode="&quot;€&quot;#,##0"/>
  </numFmts>
  <fonts count="27">
    <font>
      <sz val="11"/>
      <color theme="1"/>
      <name val="Calibri"/>
      <family val="2"/>
      <scheme val="minor"/>
    </font>
    <font>
      <sz val="11"/>
      <color theme="1"/>
      <name val="Calibri"/>
      <family val="2"/>
      <scheme val="minor"/>
    </font>
    <font>
      <b/>
      <sz val="11"/>
      <color theme="1"/>
      <name val="Calibri"/>
      <family val="2"/>
      <scheme val="minor"/>
    </font>
    <font>
      <sz val="10"/>
      <color theme="1"/>
      <name val="Times New Roman"/>
      <family val="1"/>
    </font>
    <font>
      <b/>
      <sz val="10"/>
      <color theme="1"/>
      <name val="Calibri"/>
      <family val="2"/>
      <scheme val="minor"/>
    </font>
    <font>
      <sz val="10"/>
      <name val="Arial"/>
      <family val="2"/>
    </font>
    <font>
      <b/>
      <sz val="11"/>
      <color indexed="8"/>
      <name val="Calibri"/>
      <family val="2"/>
    </font>
    <font>
      <sz val="11"/>
      <color indexed="8"/>
      <name val="Calibri"/>
      <family val="2"/>
    </font>
    <font>
      <sz val="12"/>
      <color theme="1"/>
      <name val="Times New Roman"/>
      <family val="1"/>
    </font>
    <font>
      <b/>
      <sz val="12"/>
      <color rgb="FFFFFF00"/>
      <name val="Arial"/>
      <family val="2"/>
    </font>
    <font>
      <sz val="12"/>
      <name val="Arial"/>
      <family val="2"/>
    </font>
    <font>
      <b/>
      <sz val="10"/>
      <color rgb="FFFFFF00"/>
      <name val="Arial"/>
      <family val="2"/>
    </font>
    <font>
      <vertAlign val="superscript"/>
      <sz val="10"/>
      <name val="Arial"/>
      <family val="2"/>
    </font>
    <font>
      <b/>
      <sz val="10"/>
      <name val="Arial"/>
      <family val="2"/>
    </font>
    <font>
      <b/>
      <sz val="12"/>
      <color rgb="FFFF0000"/>
      <name val="Arial"/>
      <family val="2"/>
    </font>
    <font>
      <b/>
      <sz val="12"/>
      <color rgb="FF92D050"/>
      <name val="Arial"/>
      <family val="2"/>
    </font>
    <font>
      <i/>
      <sz val="11"/>
      <name val="Arial"/>
      <family val="2"/>
    </font>
    <font>
      <sz val="11"/>
      <name val="Arial"/>
      <family val="2"/>
    </font>
    <font>
      <u/>
      <sz val="10"/>
      <color indexed="12"/>
      <name val="Arial"/>
      <family val="2"/>
    </font>
    <font>
      <b/>
      <sz val="10"/>
      <color rgb="FFFFFF00"/>
      <name val="Calibri"/>
      <family val="2"/>
      <scheme val="minor"/>
    </font>
    <font>
      <b/>
      <vertAlign val="superscript"/>
      <sz val="11"/>
      <color theme="1"/>
      <name val="Calibri"/>
      <family val="2"/>
      <scheme val="minor"/>
    </font>
    <font>
      <b/>
      <sz val="11"/>
      <color rgb="FFFFFF00"/>
      <name val="Calibri"/>
      <family val="2"/>
      <scheme val="minor"/>
    </font>
    <font>
      <b/>
      <sz val="8"/>
      <color theme="1"/>
      <name val="Calibri"/>
      <family val="2"/>
      <scheme val="minor"/>
    </font>
    <font>
      <b/>
      <sz val="9"/>
      <color theme="1"/>
      <name val="Calibri"/>
      <family val="2"/>
      <scheme val="minor"/>
    </font>
    <font>
      <vertAlign val="superscript"/>
      <sz val="11"/>
      <color theme="1"/>
      <name val="Calibri"/>
      <family val="2"/>
      <scheme val="minor"/>
    </font>
    <font>
      <b/>
      <i/>
      <sz val="11"/>
      <color theme="1"/>
      <name val="Calibri"/>
      <family val="2"/>
      <scheme val="minor"/>
    </font>
    <font>
      <sz val="11"/>
      <color theme="3" tint="0.79998168889431442"/>
      <name val="Calibri"/>
      <family val="2"/>
      <scheme val="minor"/>
    </font>
  </fonts>
  <fills count="13">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F0000"/>
        <bgColor indexed="64"/>
      </patternFill>
    </fill>
    <fill>
      <patternFill patternType="solid">
        <fgColor rgb="FF92D050"/>
        <bgColor indexed="64"/>
      </patternFill>
    </fill>
    <fill>
      <patternFill patternType="solid">
        <fgColor rgb="FFFFFF99"/>
        <bgColor indexed="64"/>
      </patternFill>
    </fill>
    <fill>
      <patternFill patternType="solid">
        <fgColor rgb="FFC00000"/>
        <bgColor indexed="64"/>
      </patternFill>
    </fill>
    <fill>
      <patternFill patternType="solid">
        <fgColor rgb="FF99FF66"/>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5" fillId="0" borderId="0"/>
    <xf numFmtId="0" fontId="18" fillId="0" borderId="0" applyNumberFormat="0" applyFill="0" applyBorder="0" applyAlignment="0" applyProtection="0">
      <alignment vertical="top"/>
      <protection locked="0"/>
    </xf>
    <xf numFmtId="0" fontId="5" fillId="0" borderId="0"/>
    <xf numFmtId="0" fontId="5" fillId="0" borderId="0"/>
  </cellStyleXfs>
  <cellXfs count="307">
    <xf numFmtId="0" fontId="0" fillId="0" borderId="0" xfId="0"/>
    <xf numFmtId="0" fontId="0" fillId="0" borderId="0" xfId="0" applyAlignment="1">
      <alignment horizontal="center"/>
    </xf>
    <xf numFmtId="0" fontId="2" fillId="0" borderId="1" xfId="0" applyFont="1" applyBorder="1" applyAlignment="1">
      <alignment horizontal="center" vertical="center" wrapText="1"/>
    </xf>
    <xf numFmtId="0" fontId="0" fillId="0" borderId="1" xfId="0" applyBorder="1" applyAlignment="1">
      <alignment horizontal="center"/>
    </xf>
    <xf numFmtId="0" fontId="0" fillId="4" borderId="1" xfId="0" applyFill="1"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4" borderId="1" xfId="0" applyFill="1" applyBorder="1"/>
    <xf numFmtId="3" fontId="0" fillId="4" borderId="1" xfId="0" applyNumberFormat="1" applyFill="1" applyBorder="1" applyAlignment="1">
      <alignment horizontal="center"/>
    </xf>
    <xf numFmtId="0" fontId="0" fillId="0" borderId="1" xfId="0" applyFill="1" applyBorder="1" applyAlignment="1">
      <alignment horizontal="center"/>
    </xf>
    <xf numFmtId="0" fontId="2" fillId="0" borderId="1" xfId="0" applyFont="1" applyBorder="1" applyAlignment="1">
      <alignment vertical="center" wrapText="1"/>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3"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3" fontId="0" fillId="0" borderId="1" xfId="1" applyNumberFormat="1" applyFont="1" applyBorder="1" applyAlignment="1">
      <alignment horizontal="center"/>
    </xf>
    <xf numFmtId="3" fontId="0" fillId="3" borderId="1" xfId="1" applyNumberFormat="1" applyFont="1" applyFill="1" applyBorder="1" applyAlignment="1">
      <alignment horizontal="center"/>
    </xf>
    <xf numFmtId="0" fontId="2" fillId="0" borderId="0" xfId="0" applyFont="1" applyBorder="1" applyAlignment="1"/>
    <xf numFmtId="0" fontId="2" fillId="0" borderId="2" xfId="0" applyFont="1" applyBorder="1" applyAlignment="1">
      <alignment horizontal="center" vertical="center" wrapText="1"/>
    </xf>
    <xf numFmtId="0" fontId="2" fillId="0" borderId="1" xfId="0" applyFont="1" applyBorder="1"/>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164" fontId="0" fillId="0" borderId="1" xfId="0" applyNumberFormat="1" applyBorder="1" applyAlignment="1">
      <alignment horizontal="center"/>
    </xf>
    <xf numFmtId="164" fontId="0" fillId="3" borderId="1" xfId="0" applyNumberFormat="1" applyFill="1" applyBorder="1" applyAlignment="1">
      <alignment horizontal="center"/>
    </xf>
    <xf numFmtId="2" fontId="0" fillId="0" borderId="0" xfId="0" applyNumberFormat="1"/>
    <xf numFmtId="164" fontId="0" fillId="0" borderId="0" xfId="0" applyNumberFormat="1"/>
    <xf numFmtId="164" fontId="0" fillId="0" borderId="5" xfId="0" applyNumberFormat="1" applyFill="1" applyBorder="1" applyAlignment="1">
      <alignment horizontal="center"/>
    </xf>
    <xf numFmtId="0" fontId="0" fillId="0" borderId="6" xfId="0" applyBorder="1" applyAlignment="1">
      <alignment horizontal="center" vertical="center" wrapText="1"/>
    </xf>
    <xf numFmtId="0" fontId="2" fillId="0" borderId="6" xfId="0" applyFont="1" applyBorder="1" applyAlignment="1">
      <alignment horizontal="center" vertical="center" wrapText="1"/>
    </xf>
    <xf numFmtId="0" fontId="0" fillId="0" borderId="7" xfId="0" applyBorder="1" applyAlignment="1">
      <alignment horizontal="center" vertical="center" wrapText="1"/>
    </xf>
    <xf numFmtId="164" fontId="0" fillId="0" borderId="6" xfId="0" applyNumberFormat="1" applyBorder="1" applyAlignment="1">
      <alignment horizontal="center"/>
    </xf>
    <xf numFmtId="164" fontId="0" fillId="3" borderId="6" xfId="0" applyNumberFormat="1" applyFill="1" applyBorder="1" applyAlignment="1">
      <alignment horizontal="center"/>
    </xf>
    <xf numFmtId="3" fontId="0" fillId="0" borderId="7" xfId="1" applyNumberFormat="1" applyFont="1" applyBorder="1" applyAlignment="1">
      <alignment horizontal="center" vertical="center"/>
    </xf>
    <xf numFmtId="3" fontId="0" fillId="3" borderId="7" xfId="1" applyNumberFormat="1" applyFont="1" applyFill="1" applyBorder="1" applyAlignment="1">
      <alignment horizontal="center" vertical="center"/>
    </xf>
    <xf numFmtId="9" fontId="2" fillId="5" borderId="6" xfId="2" applyFont="1" applyFill="1" applyBorder="1" applyAlignment="1">
      <alignment horizontal="center" vertical="center" wrapText="1"/>
    </xf>
    <xf numFmtId="3" fontId="0" fillId="0" borderId="6" xfId="1" applyNumberFormat="1" applyFont="1" applyBorder="1" applyAlignment="1">
      <alignment horizontal="center" vertical="center"/>
    </xf>
    <xf numFmtId="3" fontId="0" fillId="3" borderId="6" xfId="1" applyNumberFormat="1" applyFont="1" applyFill="1" applyBorder="1" applyAlignment="1">
      <alignment horizontal="center" vertical="center"/>
    </xf>
    <xf numFmtId="0" fontId="2" fillId="0" borderId="4" xfId="0" applyFont="1" applyBorder="1" applyAlignment="1">
      <alignment vertical="center"/>
    </xf>
    <xf numFmtId="0" fontId="0" fillId="2" borderId="2" xfId="0" applyFill="1" applyBorder="1" applyAlignment="1">
      <alignment horizontal="center" vertical="center" wrapText="1"/>
    </xf>
    <xf numFmtId="0" fontId="0" fillId="4" borderId="2" xfId="0" applyFill="1" applyBorder="1" applyAlignment="1">
      <alignment horizontal="center"/>
    </xf>
    <xf numFmtId="3" fontId="0" fillId="4" borderId="6" xfId="0" applyNumberFormat="1" applyFill="1" applyBorder="1" applyAlignment="1">
      <alignment horizontal="center"/>
    </xf>
    <xf numFmtId="3" fontId="0" fillId="4" borderId="7" xfId="0" applyNumberFormat="1" applyFill="1" applyBorder="1" applyAlignment="1">
      <alignment horizontal="center"/>
    </xf>
    <xf numFmtId="2" fontId="0" fillId="0" borderId="0" xfId="0" applyNumberFormat="1" applyFill="1" applyBorder="1" applyAlignment="1">
      <alignment horizontal="center"/>
    </xf>
    <xf numFmtId="0" fontId="0" fillId="0" borderId="2" xfId="0" applyBorder="1" applyAlignment="1">
      <alignment horizontal="center" vertical="center" wrapText="1"/>
    </xf>
    <xf numFmtId="164" fontId="0" fillId="0" borderId="2" xfId="0" applyNumberFormat="1" applyBorder="1" applyAlignment="1">
      <alignment horizontal="center"/>
    </xf>
    <xf numFmtId="164" fontId="0" fillId="3" borderId="2" xfId="0" applyNumberFormat="1" applyFill="1" applyBorder="1" applyAlignment="1">
      <alignment horizontal="center"/>
    </xf>
    <xf numFmtId="0" fontId="0" fillId="0" borderId="1" xfId="0" applyBorder="1"/>
    <xf numFmtId="3" fontId="0" fillId="0" borderId="2" xfId="1" applyNumberFormat="1" applyFont="1" applyBorder="1" applyAlignment="1">
      <alignment horizontal="center" vertical="center"/>
    </xf>
    <xf numFmtId="3" fontId="0" fillId="0" borderId="1" xfId="1" applyNumberFormat="1"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xf>
    <xf numFmtId="0" fontId="0" fillId="0" borderId="18" xfId="0" applyBorder="1" applyAlignment="1">
      <alignment horizontal="center" vertical="center" wrapText="1"/>
    </xf>
    <xf numFmtId="0" fontId="0" fillId="0" borderId="19" xfId="0" applyBorder="1"/>
    <xf numFmtId="0" fontId="0" fillId="0" borderId="18" xfId="0" applyBorder="1"/>
    <xf numFmtId="165" fontId="5" fillId="0" borderId="18" xfId="3" applyNumberFormat="1" applyFont="1" applyBorder="1"/>
    <xf numFmtId="165" fontId="5" fillId="0" borderId="19" xfId="3" applyNumberFormat="1" applyFont="1" applyBorder="1"/>
    <xf numFmtId="165" fontId="5" fillId="0" borderId="20" xfId="3" applyNumberFormat="1" applyFont="1" applyBorder="1"/>
    <xf numFmtId="165" fontId="5" fillId="0" borderId="22" xfId="3" applyNumberFormat="1" applyFont="1" applyBorder="1"/>
    <xf numFmtId="1" fontId="5" fillId="0" borderId="1" xfId="3" applyNumberFormat="1" applyFont="1" applyBorder="1" applyAlignment="1">
      <alignment horizontal="center"/>
    </xf>
    <xf numFmtId="1" fontId="5" fillId="0" borderId="21" xfId="3" applyNumberFormat="1" applyFont="1" applyBorder="1" applyAlignment="1">
      <alignment horizontal="center"/>
    </xf>
    <xf numFmtId="0" fontId="2" fillId="4" borderId="1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0" fillId="0" borderId="1" xfId="0" applyBorder="1" applyAlignment="1">
      <alignment horizontal="center" vertical="center"/>
    </xf>
    <xf numFmtId="3" fontId="0" fillId="4" borderId="2" xfId="0" applyNumberFormat="1" applyFill="1" applyBorder="1" applyAlignment="1">
      <alignment horizontal="center"/>
    </xf>
    <xf numFmtId="3" fontId="0" fillId="4" borderId="12" xfId="0" applyNumberFormat="1" applyFill="1" applyBorder="1" applyAlignment="1">
      <alignment horizontal="center"/>
    </xf>
    <xf numFmtId="3" fontId="0" fillId="0" borderId="29" xfId="1" applyNumberFormat="1" applyFont="1" applyBorder="1" applyAlignment="1">
      <alignment horizontal="center" vertical="center"/>
    </xf>
    <xf numFmtId="3" fontId="0" fillId="0" borderId="13" xfId="1" applyNumberFormat="1" applyFont="1" applyBorder="1" applyAlignment="1">
      <alignment horizontal="center"/>
    </xf>
    <xf numFmtId="3" fontId="0" fillId="0" borderId="30" xfId="1" applyNumberFormat="1" applyFont="1" applyBorder="1" applyAlignment="1">
      <alignment horizontal="center" vertical="center"/>
    </xf>
    <xf numFmtId="164" fontId="0" fillId="0" borderId="29" xfId="0" applyNumberFormat="1" applyBorder="1" applyAlignment="1">
      <alignment horizontal="center"/>
    </xf>
    <xf numFmtId="164" fontId="0" fillId="0" borderId="13" xfId="0" applyNumberFormat="1" applyBorder="1" applyAlignment="1">
      <alignment horizontal="center"/>
    </xf>
    <xf numFmtId="164" fontId="0" fillId="0" borderId="31" xfId="0" applyNumberFormat="1" applyBorder="1" applyAlignment="1">
      <alignment horizontal="center"/>
    </xf>
    <xf numFmtId="165" fontId="5" fillId="0" borderId="32" xfId="3" applyNumberFormat="1" applyFont="1" applyBorder="1"/>
    <xf numFmtId="1" fontId="5" fillId="0" borderId="13" xfId="3" applyNumberFormat="1" applyFont="1" applyBorder="1" applyAlignment="1">
      <alignment horizontal="center"/>
    </xf>
    <xf numFmtId="165" fontId="5" fillId="0" borderId="33" xfId="3" applyNumberFormat="1" applyFont="1" applyBorder="1"/>
    <xf numFmtId="3" fontId="0" fillId="3" borderId="15" xfId="1" applyNumberFormat="1" applyFont="1" applyFill="1" applyBorder="1" applyAlignment="1">
      <alignment horizontal="center" vertical="center"/>
    </xf>
    <xf numFmtId="3" fontId="0" fillId="3" borderId="16" xfId="1" applyNumberFormat="1" applyFont="1" applyFill="1" applyBorder="1" applyAlignment="1">
      <alignment horizontal="center"/>
    </xf>
    <xf numFmtId="3" fontId="0" fillId="3" borderId="35" xfId="1" applyNumberFormat="1" applyFont="1" applyFill="1" applyBorder="1" applyAlignment="1">
      <alignment horizontal="center" vertical="center"/>
    </xf>
    <xf numFmtId="3" fontId="0" fillId="3" borderId="36" xfId="1" applyNumberFormat="1" applyFont="1" applyFill="1" applyBorder="1" applyAlignment="1">
      <alignment horizontal="center" vertical="center"/>
    </xf>
    <xf numFmtId="164" fontId="0" fillId="3" borderId="36" xfId="0" applyNumberFormat="1" applyFill="1" applyBorder="1" applyAlignment="1">
      <alignment horizontal="center"/>
    </xf>
    <xf numFmtId="164" fontId="0" fillId="3" borderId="16" xfId="0" applyNumberFormat="1" applyFill="1" applyBorder="1" applyAlignment="1">
      <alignment horizontal="center"/>
    </xf>
    <xf numFmtId="164" fontId="0" fillId="3" borderId="37" xfId="0" applyNumberFormat="1" applyFill="1" applyBorder="1" applyAlignment="1">
      <alignment horizontal="center"/>
    </xf>
    <xf numFmtId="165" fontId="5" fillId="0" borderId="15" xfId="3" applyNumberFormat="1" applyFont="1" applyBorder="1"/>
    <xf numFmtId="1" fontId="5" fillId="0" borderId="16" xfId="3" applyNumberFormat="1" applyFont="1" applyBorder="1" applyAlignment="1">
      <alignment horizontal="center"/>
    </xf>
    <xf numFmtId="165" fontId="5" fillId="0" borderId="17" xfId="3" applyNumberFormat="1" applyFont="1" applyBorder="1"/>
    <xf numFmtId="3" fontId="0" fillId="3" borderId="18" xfId="1" applyNumberFormat="1" applyFont="1" applyFill="1" applyBorder="1" applyAlignment="1">
      <alignment horizontal="center" vertical="center"/>
    </xf>
    <xf numFmtId="3" fontId="0" fillId="3" borderId="20" xfId="1" applyNumberFormat="1" applyFont="1" applyFill="1" applyBorder="1" applyAlignment="1">
      <alignment horizontal="center" vertical="center"/>
    </xf>
    <xf numFmtId="3" fontId="0" fillId="3" borderId="21" xfId="1" applyNumberFormat="1" applyFont="1" applyFill="1" applyBorder="1" applyAlignment="1">
      <alignment horizontal="center"/>
    </xf>
    <xf numFmtId="3" fontId="0" fillId="3" borderId="38" xfId="1" applyNumberFormat="1" applyFont="1" applyFill="1" applyBorder="1" applyAlignment="1">
      <alignment horizontal="center" vertical="center"/>
    </xf>
    <xf numFmtId="3" fontId="0" fillId="3" borderId="39" xfId="1" applyNumberFormat="1" applyFont="1" applyFill="1" applyBorder="1" applyAlignment="1">
      <alignment horizontal="center" vertical="center"/>
    </xf>
    <xf numFmtId="164" fontId="0" fillId="3" borderId="39" xfId="0" applyNumberFormat="1" applyFill="1" applyBorder="1" applyAlignment="1">
      <alignment horizontal="center"/>
    </xf>
    <xf numFmtId="164" fontId="0" fillId="3" borderId="21" xfId="0" applyNumberFormat="1" applyFill="1" applyBorder="1" applyAlignment="1">
      <alignment horizontal="center"/>
    </xf>
    <xf numFmtId="164" fontId="0" fillId="3" borderId="40" xfId="0" applyNumberFormat="1" applyFill="1" applyBorder="1" applyAlignment="1">
      <alignment horizontal="center"/>
    </xf>
    <xf numFmtId="0" fontId="0" fillId="8" borderId="1" xfId="0" applyFill="1" applyBorder="1" applyAlignment="1">
      <alignment horizontal="center"/>
    </xf>
    <xf numFmtId="0" fontId="0" fillId="3" borderId="1" xfId="0" applyFill="1" applyBorder="1" applyAlignment="1">
      <alignment horizontal="center"/>
    </xf>
    <xf numFmtId="0" fontId="0" fillId="3" borderId="0" xfId="0" applyFill="1"/>
    <xf numFmtId="0" fontId="0" fillId="8" borderId="0" xfId="0" applyFill="1"/>
    <xf numFmtId="0" fontId="0" fillId="0" borderId="5" xfId="0" applyFill="1" applyBorder="1" applyAlignment="1">
      <alignment horizontal="center"/>
    </xf>
    <xf numFmtId="0" fontId="0" fillId="9" borderId="1" xfId="0" applyFill="1" applyBorder="1" applyAlignment="1">
      <alignment horizontal="center" vertical="center"/>
    </xf>
    <xf numFmtId="0" fontId="0" fillId="9" borderId="0" xfId="0" applyFill="1"/>
    <xf numFmtId="0" fontId="0" fillId="8" borderId="1" xfId="0" applyFill="1" applyBorder="1" applyAlignment="1">
      <alignment horizontal="center" vertical="center"/>
    </xf>
    <xf numFmtId="0" fontId="0" fillId="0" borderId="0" xfId="0" applyAlignment="1"/>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0" fillId="0" borderId="3" xfId="0" applyBorder="1" applyAlignment="1">
      <alignment vertical="center" wrapText="1"/>
    </xf>
    <xf numFmtId="164" fontId="0" fillId="4" borderId="2" xfId="0" applyNumberFormat="1" applyFill="1" applyBorder="1" applyAlignment="1">
      <alignment horizontal="center"/>
    </xf>
    <xf numFmtId="0" fontId="0" fillId="4" borderId="1" xfId="0" applyFill="1" applyBorder="1" applyAlignment="1">
      <alignment horizontal="center" vertical="center"/>
    </xf>
    <xf numFmtId="0" fontId="2" fillId="0" borderId="2" xfId="0" applyFont="1" applyBorder="1" applyAlignment="1">
      <alignment vertical="center" wrapText="1"/>
    </xf>
    <xf numFmtId="0" fontId="2" fillId="0" borderId="4" xfId="0" applyFont="1" applyBorder="1" applyAlignment="1">
      <alignment vertical="center" wrapText="1"/>
    </xf>
    <xf numFmtId="3" fontId="0" fillId="4" borderId="1" xfId="1" applyNumberFormat="1" applyFont="1" applyFill="1" applyBorder="1" applyAlignment="1">
      <alignment horizontal="center" vertical="center"/>
    </xf>
    <xf numFmtId="3" fontId="0" fillId="4" borderId="1" xfId="1" applyNumberFormat="1" applyFont="1" applyFill="1" applyBorder="1" applyAlignment="1">
      <alignment horizontal="center"/>
    </xf>
    <xf numFmtId="0" fontId="5" fillId="0" borderId="0" xfId="4"/>
    <xf numFmtId="0" fontId="0" fillId="4" borderId="1" xfId="0" applyFill="1" applyBorder="1" applyAlignment="1">
      <alignment horizontal="center" vertical="center" wrapText="1"/>
    </xf>
    <xf numFmtId="0" fontId="13" fillId="9" borderId="1" xfId="0" applyFont="1" applyFill="1" applyBorder="1" applyAlignment="1">
      <alignment horizontal="center" vertical="center"/>
    </xf>
    <xf numFmtId="3" fontId="0" fillId="4" borderId="0" xfId="0" applyNumberFormat="1" applyFill="1" applyAlignment="1">
      <alignment horizontal="center"/>
    </xf>
    <xf numFmtId="0" fontId="0" fillId="9" borderId="1" xfId="0" applyFill="1" applyBorder="1" applyAlignment="1">
      <alignment horizontal="center" vertical="center" wrapText="1"/>
    </xf>
    <xf numFmtId="9" fontId="2" fillId="9" borderId="1" xfId="2" applyFont="1" applyFill="1" applyBorder="1" applyAlignment="1">
      <alignment horizontal="center" vertical="center" wrapText="1"/>
    </xf>
    <xf numFmtId="0" fontId="0" fillId="0" borderId="14" xfId="0" applyFill="1" applyBorder="1" applyAlignment="1">
      <alignment vertical="center"/>
    </xf>
    <xf numFmtId="0" fontId="0" fillId="0" borderId="14" xfId="0" applyFill="1" applyBorder="1" applyAlignment="1">
      <alignment vertical="center" wrapText="1"/>
    </xf>
    <xf numFmtId="0" fontId="21" fillId="11" borderId="0" xfId="0" applyFont="1" applyFill="1" applyAlignment="1">
      <alignment horizontal="center"/>
    </xf>
    <xf numFmtId="0" fontId="0" fillId="9" borderId="13" xfId="0" applyFill="1" applyBorder="1" applyAlignment="1">
      <alignment horizontal="center" vertical="center"/>
    </xf>
    <xf numFmtId="0" fontId="0" fillId="9" borderId="13" xfId="0" applyFill="1" applyBorder="1" applyAlignment="1">
      <alignment horizontal="center" vertical="center" wrapText="1"/>
    </xf>
    <xf numFmtId="1" fontId="0" fillId="4" borderId="1" xfId="1" applyNumberFormat="1" applyFont="1" applyFill="1" applyBorder="1" applyAlignment="1">
      <alignment horizontal="center" vertical="center"/>
    </xf>
    <xf numFmtId="0" fontId="0" fillId="0" borderId="0" xfId="0" applyProtection="1"/>
    <xf numFmtId="0" fontId="6" fillId="0" borderId="1" xfId="0" applyFont="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3" fillId="0" borderId="0" xfId="0" applyFont="1" applyProtection="1"/>
    <xf numFmtId="0" fontId="7" fillId="0" borderId="1" xfId="0" applyFont="1" applyBorder="1" applyAlignment="1" applyProtection="1">
      <alignment horizontal="center"/>
    </xf>
    <xf numFmtId="166" fontId="5" fillId="0" borderId="1" xfId="0" applyNumberFormat="1" applyFont="1" applyBorder="1" applyAlignment="1" applyProtection="1">
      <alignment horizontal="center" vertical="top"/>
    </xf>
    <xf numFmtId="3" fontId="0" fillId="4" borderId="6" xfId="0" applyNumberFormat="1" applyFill="1" applyBorder="1" applyAlignment="1" applyProtection="1">
      <alignment horizontal="center"/>
    </xf>
    <xf numFmtId="3" fontId="0" fillId="4" borderId="1" xfId="0" applyNumberFormat="1" applyFill="1" applyBorder="1" applyAlignment="1" applyProtection="1">
      <alignment horizontal="center"/>
    </xf>
    <xf numFmtId="3" fontId="0" fillId="4" borderId="7" xfId="0" applyNumberFormat="1" applyFill="1" applyBorder="1" applyAlignment="1" applyProtection="1">
      <alignment horizontal="center"/>
    </xf>
    <xf numFmtId="1" fontId="0" fillId="0" borderId="0" xfId="0" applyNumberFormat="1" applyAlignment="1" applyProtection="1">
      <alignment horizontal="center"/>
    </xf>
    <xf numFmtId="0" fontId="3" fillId="8" borderId="0" xfId="0" applyFont="1" applyFill="1" applyProtection="1"/>
    <xf numFmtId="3" fontId="0" fillId="4" borderId="11" xfId="0" applyNumberFormat="1" applyFill="1" applyBorder="1" applyAlignment="1" applyProtection="1">
      <alignment horizontal="center"/>
    </xf>
    <xf numFmtId="3" fontId="0" fillId="4" borderId="8" xfId="0" applyNumberFormat="1" applyFill="1" applyBorder="1" applyAlignment="1" applyProtection="1">
      <alignment horizontal="center"/>
    </xf>
    <xf numFmtId="0" fontId="8" fillId="0" borderId="0" xfId="0" applyFont="1" applyProtection="1"/>
    <xf numFmtId="0" fontId="5" fillId="0" borderId="1" xfId="4" applyBorder="1" applyAlignment="1">
      <alignment horizontal="right" vertical="top"/>
    </xf>
    <xf numFmtId="0" fontId="11" fillId="11" borderId="31" xfId="0" applyFont="1" applyFill="1" applyBorder="1" applyAlignment="1">
      <alignment horizontal="center" vertical="center" wrapText="1"/>
    </xf>
    <xf numFmtId="0" fontId="11" fillId="11" borderId="42" xfId="0" applyFont="1" applyFill="1" applyBorder="1" applyAlignment="1">
      <alignment horizontal="center" vertical="center" wrapText="1"/>
    </xf>
    <xf numFmtId="0" fontId="11" fillId="11" borderId="43" xfId="0" applyFont="1" applyFill="1" applyBorder="1" applyAlignment="1">
      <alignment horizontal="center" vertical="center" wrapText="1"/>
    </xf>
    <xf numFmtId="0" fontId="11" fillId="11" borderId="45" xfId="0" applyFont="1" applyFill="1" applyBorder="1" applyAlignment="1">
      <alignment horizontal="center" vertical="center" wrapText="1"/>
    </xf>
    <xf numFmtId="0" fontId="11" fillId="11" borderId="41" xfId="0" applyFont="1" applyFill="1" applyBorder="1" applyAlignment="1">
      <alignment horizontal="center" vertical="center" wrapText="1"/>
    </xf>
    <xf numFmtId="0" fontId="11" fillId="11" borderId="46"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4" borderId="4" xfId="0" applyFill="1" applyBorder="1" applyAlignment="1">
      <alignment horizontal="center" vertical="center" wrapText="1"/>
    </xf>
    <xf numFmtId="0" fontId="0" fillId="4" borderId="3" xfId="0" applyFill="1" applyBorder="1" applyAlignment="1">
      <alignment horizontal="center" vertical="center" wrapText="1"/>
    </xf>
    <xf numFmtId="0" fontId="11" fillId="11" borderId="2"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11" fillId="11" borderId="3" xfId="0" applyFont="1" applyFill="1" applyBorder="1" applyAlignment="1">
      <alignment horizontal="center" vertical="center" wrapText="1"/>
    </xf>
    <xf numFmtId="0" fontId="0" fillId="0" borderId="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21" fillId="11" borderId="2" xfId="0" applyFont="1" applyFill="1" applyBorder="1" applyAlignment="1">
      <alignment horizontal="center"/>
    </xf>
    <xf numFmtId="0" fontId="21" fillId="11" borderId="3" xfId="0" applyFont="1" applyFill="1" applyBorder="1" applyAlignment="1">
      <alignment horizontal="center"/>
    </xf>
    <xf numFmtId="0" fontId="21" fillId="11" borderId="4" xfId="0" applyFont="1" applyFill="1" applyBorder="1" applyAlignment="1">
      <alignment horizontal="center"/>
    </xf>
    <xf numFmtId="0" fontId="0" fillId="9" borderId="4" xfId="0" applyFill="1" applyBorder="1" applyAlignment="1">
      <alignment horizontal="center" vertical="center"/>
    </xf>
    <xf numFmtId="0" fontId="11" fillId="11" borderId="44" xfId="0" applyFont="1" applyFill="1" applyBorder="1" applyAlignment="1">
      <alignment horizontal="center" vertical="center" wrapText="1"/>
    </xf>
    <xf numFmtId="0" fontId="11" fillId="11" borderId="0" xfId="0" applyFont="1" applyFill="1" applyBorder="1" applyAlignment="1">
      <alignment horizontal="center" vertical="center" wrapText="1"/>
    </xf>
    <xf numFmtId="0" fontId="11" fillId="11" borderId="34" xfId="0" applyFont="1" applyFill="1" applyBorder="1" applyAlignment="1">
      <alignment horizontal="center" vertical="center" wrapText="1"/>
    </xf>
    <xf numFmtId="0" fontId="0" fillId="0" borderId="31" xfId="0" applyBorder="1" applyAlignment="1">
      <alignment horizontal="center"/>
    </xf>
    <xf numFmtId="0" fontId="0" fillId="0" borderId="44" xfId="0" applyBorder="1" applyAlignment="1">
      <alignment horizontal="center"/>
    </xf>
    <xf numFmtId="0" fontId="0" fillId="0" borderId="34"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13" fillId="9" borderId="1" xfId="0" applyFont="1" applyFill="1" applyBorder="1" applyAlignment="1">
      <alignment horizontal="center" vertical="center" wrapText="1"/>
    </xf>
    <xf numFmtId="2" fontId="13" fillId="9" borderId="1" xfId="0" applyNumberFormat="1" applyFont="1" applyFill="1" applyBorder="1" applyAlignment="1">
      <alignment horizontal="center" vertical="center"/>
    </xf>
    <xf numFmtId="1" fontId="13" fillId="9" borderId="45" xfId="0" applyNumberFormat="1" applyFont="1" applyFill="1" applyBorder="1" applyAlignment="1">
      <alignment horizontal="center" vertical="center" wrapText="1"/>
    </xf>
    <xf numFmtId="1" fontId="13" fillId="9" borderId="46"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9" fillId="11" borderId="0" xfId="4" applyFont="1" applyFill="1" applyAlignment="1">
      <alignment horizontal="center" vertical="center"/>
    </xf>
    <xf numFmtId="0" fontId="16" fillId="0" borderId="1" xfId="4" applyFont="1" applyBorder="1" applyAlignment="1">
      <alignment horizontal="left" vertical="top" wrapText="1"/>
    </xf>
    <xf numFmtId="0" fontId="5" fillId="0" borderId="1" xfId="4" applyBorder="1" applyAlignment="1">
      <alignment horizontal="right" vertical="top"/>
    </xf>
    <xf numFmtId="0" fontId="0" fillId="2" borderId="0" xfId="0" applyFill="1" applyAlignment="1">
      <alignment horizontal="center"/>
    </xf>
    <xf numFmtId="0" fontId="0" fillId="0" borderId="24" xfId="0" applyBorder="1" applyAlignment="1">
      <alignment horizontal="center"/>
    </xf>
    <xf numFmtId="0" fontId="0" fillId="0" borderId="26" xfId="0" applyBorder="1" applyAlignment="1">
      <alignment horizontal="center"/>
    </xf>
    <xf numFmtId="0" fontId="2" fillId="4" borderId="27"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28"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 xfId="0" applyFont="1" applyFill="1" applyBorder="1" applyAlignment="1">
      <alignment horizontal="center" vertical="center"/>
    </xf>
    <xf numFmtId="0" fontId="2" fillId="7" borderId="15" xfId="0" applyFont="1" applyFill="1" applyBorder="1" applyAlignment="1">
      <alignment horizontal="left" wrapText="1"/>
    </xf>
    <xf numFmtId="0" fontId="2" fillId="7" borderId="18" xfId="0" applyFont="1" applyFill="1" applyBorder="1" applyAlignment="1">
      <alignment horizontal="left" wrapText="1"/>
    </xf>
    <xf numFmtId="0" fontId="2" fillId="7" borderId="23" xfId="0" applyFont="1" applyFill="1" applyBorder="1" applyAlignment="1">
      <alignment horizontal="left" wrapText="1"/>
    </xf>
    <xf numFmtId="0" fontId="2" fillId="7" borderId="25" xfId="0" applyFont="1" applyFill="1" applyBorder="1" applyAlignment="1">
      <alignment horizontal="left" wrapText="1"/>
    </xf>
    <xf numFmtId="0" fontId="2" fillId="4" borderId="18"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19"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9" xfId="0" applyFont="1" applyFill="1" applyBorder="1" applyAlignment="1">
      <alignment horizontal="center" vertical="center"/>
    </xf>
    <xf numFmtId="0" fontId="0" fillId="0" borderId="0" xfId="0" applyBorder="1" applyAlignment="1">
      <alignment horizontal="center"/>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4" fillId="6" borderId="1" xfId="0" applyFont="1" applyFill="1" applyBorder="1" applyAlignment="1">
      <alignment horizontal="left"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6" borderId="1" xfId="0" applyFont="1" applyFill="1" applyBorder="1" applyAlignment="1">
      <alignment horizontal="center" vertical="center" wrapText="1"/>
    </xf>
    <xf numFmtId="0" fontId="2" fillId="0" borderId="1" xfId="0" applyFont="1" applyBorder="1" applyAlignment="1">
      <alignment horizontal="center"/>
    </xf>
    <xf numFmtId="0" fontId="2" fillId="0" borderId="1" xfId="0" applyFont="1" applyBorder="1" applyAlignment="1">
      <alignment horizontal="center" vertical="center"/>
    </xf>
    <xf numFmtId="0" fontId="0" fillId="0" borderId="4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 xfId="0" applyBorder="1" applyAlignment="1">
      <alignment horizontal="center" vertical="center" wrapText="1"/>
    </xf>
    <xf numFmtId="0" fontId="0" fillId="0" borderId="1" xfId="0" applyBorder="1" applyAlignment="1" applyProtection="1">
      <alignment horizontal="center" vertical="center"/>
    </xf>
    <xf numFmtId="0" fontId="2" fillId="0" borderId="0" xfId="0" applyFont="1" applyAlignment="1" applyProtection="1">
      <alignment horizontal="center"/>
    </xf>
    <xf numFmtId="0" fontId="13" fillId="10" borderId="1" xfId="0" applyFont="1" applyFill="1" applyBorder="1" applyAlignment="1" applyProtection="1">
      <alignment horizontal="center" vertical="center" wrapText="1"/>
      <protection locked="0"/>
    </xf>
    <xf numFmtId="0" fontId="13" fillId="10" borderId="1" xfId="0" applyFont="1" applyFill="1" applyBorder="1" applyAlignment="1" applyProtection="1">
      <alignment horizontal="center" vertical="center" wrapText="1"/>
      <protection locked="0"/>
    </xf>
    <xf numFmtId="0" fontId="9" fillId="11" borderId="1" xfId="0" applyFont="1" applyFill="1" applyBorder="1" applyAlignment="1" applyProtection="1">
      <alignment horizontal="center" vertical="center"/>
    </xf>
    <xf numFmtId="0" fontId="10" fillId="0" borderId="1" xfId="0" applyFont="1" applyBorder="1" applyAlignment="1" applyProtection="1">
      <alignment horizontal="center"/>
    </xf>
    <xf numFmtId="0" fontId="11" fillId="0" borderId="1" xfId="0" applyFont="1" applyFill="1" applyBorder="1" applyAlignment="1" applyProtection="1">
      <alignment horizontal="center" vertical="center"/>
    </xf>
    <xf numFmtId="0" fontId="5" fillId="0" borderId="1" xfId="0" applyFont="1" applyBorder="1" applyAlignment="1" applyProtection="1">
      <alignment horizontal="left" vertical="top" wrapText="1"/>
    </xf>
    <xf numFmtId="0" fontId="5" fillId="0" borderId="1" xfId="0" applyFont="1" applyBorder="1" applyAlignment="1" applyProtection="1">
      <alignment horizontal="center" vertical="top" wrapText="1"/>
    </xf>
    <xf numFmtId="0" fontId="5" fillId="0" borderId="31" xfId="0" applyFont="1" applyBorder="1" applyAlignment="1" applyProtection="1">
      <alignment horizontal="left" vertical="top" wrapText="1"/>
    </xf>
    <xf numFmtId="0" fontId="5" fillId="0" borderId="42" xfId="0" applyFont="1" applyBorder="1" applyAlignment="1" applyProtection="1">
      <alignment horizontal="left" vertical="top" wrapText="1"/>
    </xf>
    <xf numFmtId="0" fontId="5" fillId="0" borderId="43" xfId="0" applyFont="1" applyBorder="1" applyAlignment="1" applyProtection="1">
      <alignment horizontal="left" vertical="top" wrapText="1"/>
    </xf>
    <xf numFmtId="0" fontId="5" fillId="0" borderId="44"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34" xfId="0" applyFont="1" applyBorder="1" applyAlignment="1" applyProtection="1">
      <alignment horizontal="left" vertical="top" wrapText="1"/>
    </xf>
    <xf numFmtId="0" fontId="5" fillId="0" borderId="45" xfId="0" applyFont="1" applyBorder="1" applyAlignment="1" applyProtection="1">
      <alignment horizontal="left" vertical="top" wrapText="1"/>
    </xf>
    <xf numFmtId="0" fontId="5" fillId="0" borderId="41" xfId="0" applyFont="1" applyBorder="1" applyAlignment="1" applyProtection="1">
      <alignment horizontal="left" vertical="top" wrapText="1"/>
    </xf>
    <xf numFmtId="0" fontId="5" fillId="0" borderId="46" xfId="0" applyFont="1" applyBorder="1" applyAlignment="1" applyProtection="1">
      <alignment horizontal="left" vertical="top" wrapText="1"/>
    </xf>
    <xf numFmtId="0" fontId="11" fillId="11" borderId="1" xfId="0" applyFont="1" applyFill="1" applyBorder="1" applyAlignment="1" applyProtection="1">
      <alignment horizontal="center" vertical="center" wrapText="1"/>
    </xf>
    <xf numFmtId="0" fontId="0" fillId="0" borderId="1" xfId="0" applyBorder="1" applyAlignment="1" applyProtection="1">
      <alignment horizontal="center" vertical="top" wrapText="1"/>
    </xf>
    <xf numFmtId="0" fontId="11" fillId="11" borderId="1" xfId="0" applyFont="1" applyFill="1" applyBorder="1" applyAlignment="1" applyProtection="1">
      <alignment horizontal="center" vertical="center" wrapText="1"/>
    </xf>
    <xf numFmtId="0" fontId="11" fillId="11" borderId="1" xfId="0" applyFont="1" applyFill="1" applyBorder="1" applyAlignment="1" applyProtection="1">
      <alignment horizontal="left" vertical="center" wrapText="1"/>
    </xf>
    <xf numFmtId="0" fontId="11" fillId="11" borderId="1" xfId="0" applyFont="1" applyFill="1" applyBorder="1" applyAlignment="1" applyProtection="1">
      <alignment horizontal="center" vertical="center"/>
    </xf>
    <xf numFmtId="0" fontId="0" fillId="0" borderId="1" xfId="0" applyBorder="1" applyProtection="1"/>
    <xf numFmtId="0" fontId="11" fillId="11" borderId="31" xfId="0" applyFont="1" applyFill="1" applyBorder="1" applyAlignment="1" applyProtection="1">
      <alignment horizontal="center" vertical="center" wrapText="1"/>
    </xf>
    <xf numFmtId="0" fontId="11" fillId="11" borderId="42" xfId="0" applyFont="1" applyFill="1" applyBorder="1" applyAlignment="1" applyProtection="1">
      <alignment horizontal="center" vertical="center" wrapText="1"/>
    </xf>
    <xf numFmtId="0" fontId="11" fillId="11" borderId="43" xfId="0" applyFont="1" applyFill="1" applyBorder="1" applyAlignment="1" applyProtection="1">
      <alignment horizontal="center" vertical="center" wrapText="1"/>
    </xf>
    <xf numFmtId="0" fontId="0" fillId="0" borderId="1" xfId="0" applyBorder="1" applyAlignment="1" applyProtection="1">
      <alignment wrapText="1"/>
    </xf>
    <xf numFmtId="0" fontId="11" fillId="11" borderId="45" xfId="0" applyFont="1" applyFill="1" applyBorder="1" applyAlignment="1" applyProtection="1">
      <alignment horizontal="center" vertical="center" wrapText="1"/>
    </xf>
    <xf numFmtId="0" fontId="11" fillId="11" borderId="41" xfId="0" applyFont="1" applyFill="1" applyBorder="1" applyAlignment="1" applyProtection="1">
      <alignment horizontal="center" vertical="center" wrapText="1"/>
    </xf>
    <xf numFmtId="0" fontId="11" fillId="11" borderId="46" xfId="0" applyFont="1" applyFill="1" applyBorder="1" applyAlignment="1" applyProtection="1">
      <alignment horizontal="center" vertical="center" wrapText="1"/>
    </xf>
    <xf numFmtId="0" fontId="11" fillId="11" borderId="1" xfId="0" applyNumberFormat="1" applyFont="1" applyFill="1" applyBorder="1" applyAlignment="1" applyProtection="1">
      <alignment horizontal="left" vertical="top" wrapText="1"/>
    </xf>
    <xf numFmtId="0" fontId="11" fillId="11" borderId="1" xfId="0" applyFont="1" applyFill="1" applyBorder="1" applyAlignment="1" applyProtection="1">
      <alignment horizontal="left" vertical="top" wrapText="1"/>
    </xf>
    <xf numFmtId="0" fontId="2" fillId="10" borderId="1" xfId="0" applyFont="1" applyFill="1" applyBorder="1" applyAlignment="1" applyProtection="1">
      <alignment horizontal="center" vertical="center"/>
      <protection locked="0"/>
    </xf>
    <xf numFmtId="0" fontId="2" fillId="10" borderId="1" xfId="0" applyFont="1" applyFill="1" applyBorder="1" applyAlignment="1" applyProtection="1">
      <alignment horizontal="center" vertical="center" wrapText="1"/>
      <protection locked="0"/>
    </xf>
    <xf numFmtId="0" fontId="0" fillId="10" borderId="1" xfId="0" applyFill="1" applyBorder="1" applyAlignment="1" applyProtection="1">
      <alignment horizontal="center" vertical="center"/>
      <protection locked="0"/>
    </xf>
    <xf numFmtId="0" fontId="11" fillId="11" borderId="1" xfId="0" applyFont="1" applyFill="1" applyBorder="1" applyAlignment="1" applyProtection="1">
      <alignment horizontal="right" vertical="center" wrapText="1"/>
    </xf>
    <xf numFmtId="3" fontId="0" fillId="12" borderId="2" xfId="0" applyNumberFormat="1" applyFill="1" applyBorder="1" applyAlignment="1" applyProtection="1">
      <alignment horizontal="center"/>
    </xf>
    <xf numFmtId="3" fontId="0" fillId="12" borderId="3" xfId="0" applyNumberFormat="1" applyFill="1" applyBorder="1" applyAlignment="1" applyProtection="1">
      <alignment horizontal="center"/>
    </xf>
    <xf numFmtId="0" fontId="0" fillId="0" borderId="44" xfId="0" applyBorder="1" applyAlignment="1" applyProtection="1">
      <alignment horizontal="center" vertical="center"/>
    </xf>
    <xf numFmtId="0" fontId="0" fillId="0" borderId="0" xfId="0" applyBorder="1" applyAlignment="1" applyProtection="1">
      <alignment horizontal="center" vertical="center"/>
    </xf>
    <xf numFmtId="0" fontId="11" fillId="11" borderId="2" xfId="0" applyFont="1" applyFill="1" applyBorder="1" applyAlignment="1" applyProtection="1">
      <alignment horizontal="center" vertical="center" wrapText="1"/>
    </xf>
    <xf numFmtId="0" fontId="11" fillId="11" borderId="4" xfId="0" applyFont="1" applyFill="1" applyBorder="1" applyAlignment="1" applyProtection="1">
      <alignment horizontal="center" vertical="center" wrapText="1"/>
    </xf>
    <xf numFmtId="0" fontId="11" fillId="11" borderId="3" xfId="0" applyFont="1" applyFill="1" applyBorder="1" applyAlignment="1" applyProtection="1">
      <alignment horizontal="center" vertical="center" wrapText="1"/>
    </xf>
    <xf numFmtId="0" fontId="0" fillId="0" borderId="45" xfId="0" applyBorder="1" applyAlignment="1" applyProtection="1">
      <alignment horizontal="center" vertical="center"/>
    </xf>
    <xf numFmtId="0" fontId="0" fillId="0" borderId="41" xfId="0" applyBorder="1" applyAlignment="1" applyProtection="1">
      <alignment horizontal="center" vertical="center"/>
    </xf>
    <xf numFmtId="0" fontId="0" fillId="0" borderId="0" xfId="0" applyAlignment="1" applyProtection="1">
      <alignment horizontal="center"/>
    </xf>
    <xf numFmtId="0" fontId="19" fillId="11" borderId="1" xfId="0" applyFont="1" applyFill="1" applyBorder="1" applyAlignment="1" applyProtection="1">
      <alignment horizontal="center" vertical="center" wrapText="1"/>
    </xf>
    <xf numFmtId="0" fontId="0" fillId="4" borderId="0" xfId="0" applyFill="1" applyAlignment="1" applyProtection="1">
      <alignment horizontal="center" vertical="center"/>
    </xf>
    <xf numFmtId="0" fontId="2" fillId="4" borderId="2"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0" fillId="4" borderId="2" xfId="0" applyFill="1" applyBorder="1" applyAlignment="1" applyProtection="1">
      <alignment horizontal="center" vertical="center"/>
    </xf>
    <xf numFmtId="0" fontId="25" fillId="4" borderId="1" xfId="0" applyFont="1" applyFill="1" applyBorder="1" applyAlignment="1" applyProtection="1">
      <alignment horizontal="center" vertical="center" wrapText="1"/>
    </xf>
    <xf numFmtId="0" fontId="0" fillId="4" borderId="2" xfId="0" applyFill="1" applyBorder="1" applyAlignment="1" applyProtection="1">
      <alignment horizontal="center" vertical="center" wrapText="1"/>
    </xf>
    <xf numFmtId="0" fontId="0" fillId="4" borderId="2" xfId="0" applyFill="1" applyBorder="1" applyAlignment="1" applyProtection="1">
      <alignment horizontal="center" vertical="center" wrapText="1"/>
    </xf>
    <xf numFmtId="0" fontId="0" fillId="4" borderId="4" xfId="0" applyFill="1" applyBorder="1" applyAlignment="1" applyProtection="1">
      <alignment horizontal="center" vertical="center" wrapText="1"/>
    </xf>
    <xf numFmtId="0" fontId="0" fillId="4" borderId="3" xfId="0"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3" fillId="4" borderId="1" xfId="0" applyFont="1" applyFill="1" applyBorder="1" applyAlignment="1" applyProtection="1">
      <alignment horizontal="center" vertical="center" wrapText="1"/>
    </xf>
    <xf numFmtId="0" fontId="22" fillId="4"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21" fillId="11" borderId="1" xfId="0" applyFont="1" applyFill="1" applyBorder="1" applyAlignment="1" applyProtection="1">
      <alignment horizontal="center"/>
    </xf>
    <xf numFmtId="3" fontId="0" fillId="4" borderId="1" xfId="0" applyNumberFormat="1" applyFill="1" applyBorder="1" applyAlignment="1" applyProtection="1">
      <alignment horizontal="center" vertical="center" wrapText="1"/>
    </xf>
    <xf numFmtId="9" fontId="26" fillId="4" borderId="1" xfId="0" applyNumberFormat="1" applyFont="1" applyFill="1" applyBorder="1" applyAlignment="1" applyProtection="1">
      <alignment horizontal="center" vertical="center" wrapText="1"/>
    </xf>
    <xf numFmtId="0" fontId="0" fillId="4" borderId="1" xfId="0" applyFill="1" applyBorder="1" applyAlignment="1" applyProtection="1">
      <alignment horizontal="center" vertical="center" wrapText="1"/>
    </xf>
    <xf numFmtId="0" fontId="0" fillId="4" borderId="2" xfId="0" applyFill="1" applyBorder="1" applyAlignment="1" applyProtection="1">
      <alignment horizontal="center"/>
    </xf>
    <xf numFmtId="0" fontId="0" fillId="4" borderId="4" xfId="0" applyFill="1" applyBorder="1" applyAlignment="1" applyProtection="1">
      <alignment horizontal="center"/>
    </xf>
    <xf numFmtId="0" fontId="0" fillId="4" borderId="3" xfId="0" applyFill="1" applyBorder="1" applyAlignment="1" applyProtection="1">
      <alignment horizontal="center"/>
    </xf>
    <xf numFmtId="0" fontId="2" fillId="4" borderId="1" xfId="0" applyFont="1" applyFill="1" applyBorder="1" applyAlignment="1" applyProtection="1">
      <alignment horizontal="center" vertical="center"/>
    </xf>
    <xf numFmtId="0" fontId="0" fillId="10" borderId="1" xfId="0" applyFill="1" applyBorder="1" applyAlignment="1" applyProtection="1">
      <alignment horizontal="center" vertical="center"/>
    </xf>
    <xf numFmtId="0" fontId="0" fillId="4" borderId="1" xfId="0" applyFill="1" applyBorder="1" applyAlignment="1" applyProtection="1">
      <alignment horizontal="center" vertical="center"/>
    </xf>
    <xf numFmtId="164" fontId="0" fillId="4" borderId="1" xfId="0" applyNumberFormat="1" applyFill="1" applyBorder="1" applyAlignment="1" applyProtection="1">
      <alignment horizontal="center"/>
    </xf>
    <xf numFmtId="4" fontId="0" fillId="4" borderId="1" xfId="0" applyNumberFormat="1" applyFill="1" applyBorder="1" applyAlignment="1" applyProtection="1">
      <alignment horizontal="center"/>
    </xf>
    <xf numFmtId="3" fontId="0" fillId="4" borderId="1" xfId="0" applyNumberFormat="1" applyFill="1" applyBorder="1" applyProtection="1"/>
    <xf numFmtId="167" fontId="0" fillId="12" borderId="1" xfId="0" applyNumberFormat="1" applyFill="1" applyBorder="1" applyAlignment="1" applyProtection="1"/>
    <xf numFmtId="167" fontId="0" fillId="9" borderId="1" xfId="0" applyNumberFormat="1" applyFill="1" applyBorder="1" applyProtection="1"/>
    <xf numFmtId="0" fontId="2" fillId="4" borderId="1" xfId="0" applyFont="1" applyFill="1" applyBorder="1" applyProtection="1"/>
    <xf numFmtId="0" fontId="0" fillId="4" borderId="1" xfId="0" applyFill="1" applyBorder="1" applyProtection="1"/>
    <xf numFmtId="0" fontId="21" fillId="11" borderId="2" xfId="0" applyFont="1" applyFill="1" applyBorder="1" applyAlignment="1" applyProtection="1">
      <alignment horizontal="center" vertical="center"/>
    </xf>
    <xf numFmtId="0" fontId="21" fillId="11" borderId="4" xfId="0" applyFont="1" applyFill="1" applyBorder="1" applyAlignment="1" applyProtection="1">
      <alignment horizontal="center" vertical="center"/>
    </xf>
    <xf numFmtId="0" fontId="21" fillId="11" borderId="3" xfId="0" applyFont="1" applyFill="1" applyBorder="1" applyAlignment="1" applyProtection="1">
      <alignment horizontal="center" vertical="center"/>
    </xf>
    <xf numFmtId="0" fontId="13" fillId="9" borderId="1" xfId="0" applyFont="1" applyFill="1" applyBorder="1" applyAlignment="1" applyProtection="1">
      <alignment horizontal="center" vertical="center" wrapText="1"/>
    </xf>
    <xf numFmtId="3" fontId="2" fillId="9" borderId="2" xfId="0" applyNumberFormat="1" applyFont="1" applyFill="1" applyBorder="1" applyAlignment="1" applyProtection="1">
      <alignment horizontal="center"/>
    </xf>
    <xf numFmtId="3" fontId="2" fillId="9" borderId="3" xfId="0" applyNumberFormat="1" applyFont="1" applyFill="1" applyBorder="1" applyAlignment="1" applyProtection="1">
      <alignment horizontal="center"/>
    </xf>
    <xf numFmtId="1" fontId="0" fillId="4" borderId="2" xfId="1" applyNumberFormat="1" applyFont="1" applyFill="1" applyBorder="1" applyAlignment="1">
      <alignment horizontal="center" vertical="center"/>
    </xf>
    <xf numFmtId="0" fontId="0" fillId="4" borderId="42" xfId="0" applyFill="1" applyBorder="1" applyAlignment="1">
      <alignment horizontal="center" vertical="center" wrapText="1"/>
    </xf>
    <xf numFmtId="0" fontId="0" fillId="4" borderId="43" xfId="0" applyFill="1" applyBorder="1" applyAlignment="1">
      <alignment horizontal="center" vertical="center" wrapText="1"/>
    </xf>
    <xf numFmtId="164" fontId="0" fillId="4" borderId="15" xfId="0" applyNumberFormat="1" applyFill="1" applyBorder="1" applyAlignment="1">
      <alignment horizontal="center"/>
    </xf>
    <xf numFmtId="0" fontId="0" fillId="0" borderId="0" xfId="0" applyFill="1" applyBorder="1" applyAlignment="1">
      <alignment horizontal="center"/>
    </xf>
    <xf numFmtId="164" fontId="0" fillId="0" borderId="0" xfId="0" applyNumberFormat="1" applyFill="1" applyBorder="1" applyAlignment="1">
      <alignment horizontal="center"/>
    </xf>
    <xf numFmtId="1" fontId="0" fillId="4" borderId="19" xfId="1" applyNumberFormat="1" applyFont="1" applyFill="1" applyBorder="1" applyAlignment="1">
      <alignment horizontal="center" vertical="center"/>
    </xf>
    <xf numFmtId="164" fontId="0" fillId="4" borderId="48" xfId="0" applyNumberFormat="1" applyFill="1" applyBorder="1" applyAlignment="1">
      <alignment horizontal="center"/>
    </xf>
    <xf numFmtId="164" fontId="0" fillId="4" borderId="47" xfId="0" applyNumberFormat="1" applyFill="1" applyBorder="1" applyAlignment="1">
      <alignment horizontal="center"/>
    </xf>
    <xf numFmtId="168" fontId="0" fillId="10" borderId="1" xfId="0" applyNumberFormat="1" applyFill="1" applyBorder="1" applyAlignment="1" applyProtection="1">
      <alignment horizontal="center"/>
      <protection locked="0"/>
    </xf>
  </cellXfs>
  <cellStyles count="8">
    <cellStyle name="Comma" xfId="1" builtinId="3"/>
    <cellStyle name="Currency" xfId="3" builtinId="4"/>
    <cellStyle name="Hyperlink 2" xfId="5"/>
    <cellStyle name="Normal" xfId="0" builtinId="0"/>
    <cellStyle name="Normal 2" xfId="4"/>
    <cellStyle name="Percent" xfId="2" builtinId="5"/>
    <cellStyle name="Style 1" xfId="6"/>
    <cellStyle name="常规_GE Price 2004vs2003-Dec28" xfId="7"/>
  </cellStyles>
  <dxfs count="2">
    <dxf>
      <fill>
        <patternFill>
          <bgColor indexed="50"/>
        </patternFill>
      </fill>
    </dxf>
    <dxf>
      <fill>
        <patternFill>
          <bgColor indexed="10"/>
        </patternFill>
      </fill>
    </dxf>
  </dxfs>
  <tableStyles count="0" defaultTableStyle="TableStyleMedium9" defaultPivotStyle="PivotStyleLight16"/>
  <colors>
    <mruColors>
      <color rgb="FF99FF66"/>
      <color rgb="FFFF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104774</xdr:colOff>
      <xdr:row>1</xdr:row>
      <xdr:rowOff>53227</xdr:rowOff>
    </xdr:from>
    <xdr:to>
      <xdr:col>11</xdr:col>
      <xdr:colOff>476250</xdr:colOff>
      <xdr:row>4</xdr:row>
      <xdr:rowOff>38100</xdr:rowOff>
    </xdr:to>
    <xdr:pic>
      <xdr:nvPicPr>
        <xdr:cNvPr id="2" name="Picture 1" descr="SEAI Logo.PNG"/>
        <xdr:cNvPicPr>
          <a:picLocks noChangeAspect="1"/>
        </xdr:cNvPicPr>
      </xdr:nvPicPr>
      <xdr:blipFill>
        <a:blip xmlns:r="http://schemas.openxmlformats.org/officeDocument/2006/relationships" r:embed="rId1" cstate="print"/>
        <a:stretch>
          <a:fillRect/>
        </a:stretch>
      </xdr:blipFill>
      <xdr:spPr>
        <a:xfrm>
          <a:off x="4981574" y="158002"/>
          <a:ext cx="1809751" cy="4706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63476</xdr:colOff>
      <xdr:row>0</xdr:row>
      <xdr:rowOff>38102</xdr:rowOff>
    </xdr:from>
    <xdr:to>
      <xdr:col>17</xdr:col>
      <xdr:colOff>371476</xdr:colOff>
      <xdr:row>2</xdr:row>
      <xdr:rowOff>166988</xdr:rowOff>
    </xdr:to>
    <xdr:pic>
      <xdr:nvPicPr>
        <xdr:cNvPr id="2" name="Picture 1" descr="SEAI Logo.PNG"/>
        <xdr:cNvPicPr>
          <a:picLocks noChangeAspect="1"/>
        </xdr:cNvPicPr>
      </xdr:nvPicPr>
      <xdr:blipFill>
        <a:blip xmlns:r="http://schemas.openxmlformats.org/officeDocument/2006/relationships" r:embed="rId1" cstate="print"/>
        <a:stretch>
          <a:fillRect/>
        </a:stretch>
      </xdr:blipFill>
      <xdr:spPr>
        <a:xfrm>
          <a:off x="9759926" y="38102"/>
          <a:ext cx="1470050" cy="5098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9525</xdr:colOff>
      <xdr:row>1</xdr:row>
      <xdr:rowOff>28576</xdr:rowOff>
    </xdr:from>
    <xdr:to>
      <xdr:col>14</xdr:col>
      <xdr:colOff>1</xdr:colOff>
      <xdr:row>2</xdr:row>
      <xdr:rowOff>57239</xdr:rowOff>
    </xdr:to>
    <xdr:pic>
      <xdr:nvPicPr>
        <xdr:cNvPr id="3" name="Picture 2" descr="SEAI Logo.PNG"/>
        <xdr:cNvPicPr>
          <a:picLocks noChangeAspect="1"/>
        </xdr:cNvPicPr>
      </xdr:nvPicPr>
      <xdr:blipFill>
        <a:blip xmlns:r="http://schemas.openxmlformats.org/officeDocument/2006/relationships" r:embed="rId1" cstate="print"/>
        <a:stretch>
          <a:fillRect/>
        </a:stretch>
      </xdr:blipFill>
      <xdr:spPr>
        <a:xfrm>
          <a:off x="7496175" y="190501"/>
          <a:ext cx="1419226" cy="3429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eorourke\AppData\Local\Microsoft\Windows\Temporary%20Internet%20Files\Content.Outlook\CL91CTKZ\Lighting_Assistant_4%20English%20I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LGDC1\ISproule$\Energy\EDRT\Lighting\Fluorescent%20Lighting%20Energy%20Savings%20and%20Payback%20Calc%20ver%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ome"/>
      <sheetName val="1"/>
      <sheetName val="1A"/>
      <sheetName val="2"/>
      <sheetName val="3"/>
      <sheetName val="4"/>
      <sheetName val="5"/>
      <sheetName val="6"/>
      <sheetName val="7"/>
      <sheetName val="8"/>
      <sheetName val="9"/>
      <sheetName val="10"/>
      <sheetName val="12"/>
      <sheetName val="12-A"/>
      <sheetName val="13"/>
      <sheetName val="14"/>
      <sheetName val="15"/>
      <sheetName val="16"/>
      <sheetName val="17"/>
      <sheetName val="18"/>
      <sheetName val="19"/>
      <sheetName val="20"/>
      <sheetName val="21"/>
      <sheetName val="22"/>
      <sheetName val="23"/>
      <sheetName val="CFL"/>
      <sheetName val="LFL"/>
      <sheetName val="Wiz"/>
      <sheetName val="Ballast"/>
      <sheetName val="a"/>
      <sheetName val="b"/>
      <sheetName val="enrg"/>
      <sheetName val="c"/>
      <sheetName val="d"/>
      <sheetName val="e"/>
      <sheetName val="f"/>
      <sheetName val="g"/>
      <sheetName val="h"/>
      <sheetName val="i"/>
      <sheetName val="j"/>
      <sheetName val="k"/>
      <sheetName val="l"/>
      <sheetName val="Notes"/>
      <sheetName val="Disclaim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3">
          <cell r="T13">
            <v>2111</v>
          </cell>
          <cell r="U13" t="str">
            <v>T12</v>
          </cell>
          <cell r="V13" t="str">
            <v>4-lamp</v>
          </cell>
          <cell r="W13" t="str">
            <v>Maintain
light levels within 10%</v>
          </cell>
          <cell r="X13" t="str">
            <v>Lowest Watts/
highest efficiency</v>
          </cell>
          <cell r="Y13" t="str">
            <v>Four F28T8/XL on Ultramax L
43% Energy Savings
25% Life Increase
3% Light Reduction (mean)</v>
          </cell>
          <cell r="Z13" t="str">
            <v>Four F32T8/25W on Ultramax N
43% Energy Savings
67% Life Increase
6% Light Reduction (mean)</v>
          </cell>
          <cell r="AA13" t="str">
            <v>Four F32T8/HL on Ultrastart L(.71)
41% Energy Savings
75% Life Increase
2% Light Increase (mean)</v>
          </cell>
          <cell r="AB13" t="str">
            <v>F28 on L is very similar to F25 on N but the F25 has longer life, and is also, generally, a more expensive lamp.  The HL lamp on an Ultrastart ballast is also an efficient, long life solution that can be used on occupancy sensors</v>
          </cell>
        </row>
        <row r="14">
          <cell r="T14">
            <v>2112</v>
          </cell>
          <cell r="X14" t="str">
            <v>Long Life
(also occ. sensors)</v>
          </cell>
          <cell r="Y14" t="str">
            <v>Four F32T8/SXL on Ultrastart L
41% Energy Savings
92% Life Increase
6% Light Reduction (mean)</v>
          </cell>
          <cell r="Z14" t="str">
            <v>Four F32T8/25W on Ultrastart N
41% Energy Savings
92% Life Increase
7% Light Reduction (mean)</v>
          </cell>
          <cell r="AA14" t="str">
            <v>Four F32T8/HL on Ultrastart L(.71)
41% Energy Savings
75% Life Increase
2% Light Increase (mean)</v>
          </cell>
          <cell r="AB14" t="str">
            <v>The SXL and the 25W are both 46,000 hour lamps on the Ultrastart ballast but the HL lamps is a more energy-efficient solution, although slightly shorter life</v>
          </cell>
        </row>
        <row r="15">
          <cell r="T15">
            <v>2113</v>
          </cell>
          <cell r="X15" t="str">
            <v>Delamping
(fewer lamps)</v>
          </cell>
          <cell r="Y15" t="str">
            <v>Three F32T8/25W on Ultramax H
42% Energy Savings
67% Life Increase
4% Light Reduction (mean)</v>
          </cell>
          <cell r="Z15" t="str">
            <v>Three F32T8/HL on Ultramax N
46% Energy Savings
50% Life Increase
6% Light Reduction (mean)</v>
          </cell>
          <cell r="AA15" t="str">
            <v>Three F32T8/HL on Ultrastart N
43% Energy Savings
50% Life Increase
6% Light Reduction (mean)</v>
          </cell>
          <cell r="AB15" t="str">
            <v>Many good delamping options are possible but it may be difficult to get 3-lamps in a 4-lamp fixture and maintain good light distribution and appearance</v>
          </cell>
        </row>
        <row r="16">
          <cell r="T16">
            <v>2121</v>
          </cell>
          <cell r="W16" t="str">
            <v>Drop Source Lumens 10%-25%, maybe 
add reflectors</v>
          </cell>
          <cell r="X16" t="str">
            <v>Lowest Watts/
highest efficiency</v>
          </cell>
          <cell r="Y16" t="str">
            <v>Four F28T8/XL on Ultrastart L(.71)
49% Energy Savings
75% Life Increase
14% Light Reduction (mean)</v>
          </cell>
          <cell r="Z16" t="str">
            <v>Four F32T8/25W on Ultramax L
48% Energy Savings
67% Life Increase
17% Light Reduction (mean)</v>
          </cell>
          <cell r="AA16" t="str">
            <v>Four F32T8/HL on Ultrastart XL
41% Energy Savings
75% Life Increase
14% Light Reduction (mean)</v>
          </cell>
          <cell r="AB16" t="str">
            <v>The F28 on the Ultrastart L bf provides excellent energy savings and significant increase in life</v>
          </cell>
        </row>
        <row r="17">
          <cell r="T17">
            <v>2122</v>
          </cell>
          <cell r="X17" t="str">
            <v>Long Life
(also occ. sensors)</v>
          </cell>
          <cell r="Y17" t="str">
            <v>Four F32T8/SXL on Ultrastart XL
41% Energy Savings
92% Life Increase
21% Light Reduction (mean)</v>
          </cell>
          <cell r="Z17" t="str">
            <v>Four F28T8/XL on Ultrastart L(.71)
49% Energy Savings
75% Life Increase
14% Light Reduction (mean)</v>
          </cell>
          <cell r="AA17" t="str">
            <v>Four F32T8/HL on Ultrastart XL
41% Energy Savings
75% Life Increase
14% Light Reduction (mean)</v>
          </cell>
          <cell r="AB17" t="str">
            <v>The SXL solution on Ultrastart is for those who absolutely want the longest life available.  But, from a practical viewpoint the more efficient solutions with F28 or F32 HL may be preferred</v>
          </cell>
        </row>
        <row r="18">
          <cell r="T18">
            <v>2123</v>
          </cell>
          <cell r="X18" t="str">
            <v>Delamping
(fewer lamps)</v>
          </cell>
          <cell r="Y18" t="str">
            <v>(2) F32T8/HL on Ultrastart H
50% Energy Savings
75% Life Increase
17% Light Reduction (mean)</v>
          </cell>
          <cell r="Z18" t="str">
            <v>(2) F32T8/HL on Ultramax H
51% Energy Savings
50% Life Increase
17% Light Reduction (mean)</v>
          </cell>
          <cell r="AB18" t="str">
            <v>It is possible to replace 4 T12 with 2 T8s with a high ballast factor ballast and a small reduction in light levels.  Make sure the High Lumen Lamp is specified and used to replace all future failures</v>
          </cell>
        </row>
        <row r="19">
          <cell r="T19">
            <v>2211</v>
          </cell>
          <cell r="V19" t="str">
            <v>3-lamp</v>
          </cell>
          <cell r="W19" t="str">
            <v>Maintain
light levels within 10%</v>
          </cell>
          <cell r="X19" t="str">
            <v>Lowest Watts/
highest efficiency</v>
          </cell>
          <cell r="Y19" t="str">
            <v>Three F28T8/XL on Ultramax L
45% Energy Savings
25% Life Increase
3% Light Reduction (mean)</v>
          </cell>
          <cell r="Z19" t="str">
            <v>Three F32T8/25W on Ultramax N
45% Energy Savings
67% Life Increase
6% Light Reduction (mean)</v>
          </cell>
          <cell r="AA19" t="str">
            <v>Three F32T8/HL on Ultrastart L(.71)
42% Energy Savings
75% Life Increase
2% Light Increase (mean)</v>
          </cell>
          <cell r="AB19" t="str">
            <v>F28 on L is very similar to F25 on N but the F25 has longer life, and is also, generally, a more expensive lamp.  The HL lamp on an Ultrastart ballast is also an efficient, long life solution that can be used on occupancy sensors</v>
          </cell>
        </row>
        <row r="20">
          <cell r="T20">
            <v>2212</v>
          </cell>
          <cell r="X20" t="str">
            <v>Long Life
(also occ. sensors)</v>
          </cell>
          <cell r="Y20" t="str">
            <v>Three F32T8/SXL on Ultrastart L
42% Energy Savings
92% Life Increase
6% Light Reduction (mean)</v>
          </cell>
          <cell r="Z20" t="str">
            <v>Three F32T8/25W on Ultrastart N
44% Energy Savings
92% Life Increase
9% Light Reduction (mean)</v>
          </cell>
          <cell r="AA20" t="str">
            <v>Three F32T8/HL on Ultrastart L(.71)
42% Energy Savings
75% Life Increase
2% Light Increase (mean)</v>
          </cell>
          <cell r="AB20" t="str">
            <v>The SXL and the 25W are both 46,000 hour lamps on the Ultrastart ballast but the HL lamps is a more energy-efficient solution, although slightly shorter life</v>
          </cell>
        </row>
        <row r="21">
          <cell r="T21">
            <v>2213</v>
          </cell>
          <cell r="X21" t="str">
            <v>Delamping
(fewer lamps)</v>
          </cell>
          <cell r="Y21" t="str">
            <v>Two F32T8/HL on Ultramax N+
47% Energy Savings
50% Life Increase
4% Light Reduction (mean)</v>
          </cell>
          <cell r="Z21" t="str">
            <v>Two F28T8/XL on Ultramax H
44% Energy Savings
25% Life Increase
3% Light Reduction (mean)</v>
          </cell>
          <cell r="AB21" t="str">
            <v>The HL lamp on the N+ Ultramax ballast is an excellent choice when going from 3 T12's to 2 T8's.  However, if the site is standardizing on F28 lamps, it is possible to use these on an H bf ballast.</v>
          </cell>
        </row>
        <row r="22">
          <cell r="T22">
            <v>2221</v>
          </cell>
          <cell r="W22" t="str">
            <v>Drop Source Lumens 10%-25%, maybe 
add reflectors</v>
          </cell>
          <cell r="X22" t="str">
            <v>Lowest Watts/
highest efficiency</v>
          </cell>
          <cell r="Y22" t="str">
            <v>Three F28T8/XL on Ultrastart L(.71)
50% Energy Savings
75% Life Increase
17% Light Reduction (mean)</v>
          </cell>
          <cell r="Z22" t="str">
            <v>Three F32T8/25W on Ultramax L
50% Energy Savings
67% Life Increase
17% Light Reduction (mean)</v>
          </cell>
          <cell r="AA22" t="str">
            <v>Three F32T8/HL on Ultrastart XL
44% Energy Savings
75% Life Increase
14% Light Reduction (mean)</v>
          </cell>
          <cell r="AB22" t="str">
            <v>The F28 on the Ultrastart L bf provides excellent energy savings and significant increase in life</v>
          </cell>
        </row>
        <row r="23">
          <cell r="T23">
            <v>2222</v>
          </cell>
          <cell r="X23" t="str">
            <v>Long Life
(also occ. sensors)</v>
          </cell>
          <cell r="Y23" t="str">
            <v>Three F32T8/SXL on Ultrastart XL
44% Energy Savings
92% Life Increase
21% Light Reduction (mean)</v>
          </cell>
          <cell r="Z23" t="str">
            <v>Three F28T8/XL on Ultrastart L(.71)
50% Energy Savings
75% Life Increase
17% Light Reduction (mean)</v>
          </cell>
          <cell r="AA23" t="str">
            <v>Three F32T8/HL on Ultrastart XL
44% Energy Savings
75% Life Increase
14% Light Reduction (mean)</v>
          </cell>
          <cell r="AB23" t="str">
            <v>The SXL solution on Ultrastart is for those who absolutely want the longest life available.  But, from a practical viewpoint the more efficient solutions with F28 or F32 HL may be preferred</v>
          </cell>
        </row>
        <row r="24">
          <cell r="T24">
            <v>2223</v>
          </cell>
          <cell r="X24" t="str">
            <v>Delamping
(fewer lamps)</v>
          </cell>
          <cell r="Y24" t="str">
            <v>Two F32T8/HL on Ultramax N
55% Energy Savings
50% Life Increase
17% Light Reduction (mean)</v>
          </cell>
          <cell r="Z24" t="str">
            <v>Two F32T8/25W on Ultramax H
50% Energy Savings
67% Life Increase
17% Light Reduction (mean)</v>
          </cell>
          <cell r="AA24" t="str">
            <v>Two F28T8/XL on Ultramax N+
51% Energy Savings
25% Life Increase
16% Light Reduction (mean)</v>
          </cell>
          <cell r="AB24" t="str">
            <v>The HL lamp on the N Ultramax ballast is an excellent choice when going from 3 T12's to 2 T8's.  However, the 25W solution provides slightly longer life.  If the site is standardizing on F28, that solution is possible too</v>
          </cell>
        </row>
        <row r="25">
          <cell r="T25">
            <v>2311</v>
          </cell>
          <cell r="V25" t="str">
            <v>2-lamp</v>
          </cell>
          <cell r="W25" t="str">
            <v>Maintain
light levels within 10%</v>
          </cell>
          <cell r="X25" t="str">
            <v>Lowest Watts/
highest efficiency</v>
          </cell>
          <cell r="Y25" t="str">
            <v>Two F28T8/XL on Ultramax L
42% Energy Savings
25% Life Increase
3% Light Reduction (mean)</v>
          </cell>
          <cell r="Z25" t="str">
            <v>Two F32T8/25W on Ultramax N
39% Energy Savings
67% Life Increase
6% Light Reduction (mean)</v>
          </cell>
          <cell r="AA25" t="str">
            <v>Two F32T8/HL on Ultrastart L(.71)
36% Energy Savings
75% Life Increase
2% Light Increase (mean)</v>
          </cell>
          <cell r="AB25" t="str">
            <v>F28 on L is very similar to F25 on N but the F25 has longer life, and is also, generally, a more expensive lamp.  The HL lamp on an Ultrastart ballast is also an efficient, long life solution that can be used on occupancy sensors</v>
          </cell>
        </row>
        <row r="26">
          <cell r="T26">
            <v>2312</v>
          </cell>
          <cell r="X26" t="str">
            <v>Long Life
(also occ. sensors)</v>
          </cell>
          <cell r="Y26" t="str">
            <v>Two F32T8/SXL on Ultrastart L
36% Energy Savings
92% Life Increase
6% Light Reduction (mean)</v>
          </cell>
          <cell r="Z26" t="str">
            <v>Two F32T8/25W on Ultrastart N
38% Energy Savings
92% Life Increase
7% Light Reduction (mean)</v>
          </cell>
          <cell r="AA26" t="str">
            <v>Two F32T8/HL on Ultrastart L(.71)
36% Energy Savings
75% Life Increase
2% Light Increase (mean)</v>
          </cell>
          <cell r="AB26" t="str">
            <v>The SXL and the 25W are both 46,000 hour lamps on the Ultrastart ballast but the HL lamps is a more energy-efficient solution, although slightly shorter life</v>
          </cell>
        </row>
        <row r="27">
          <cell r="T27">
            <v>2313</v>
          </cell>
          <cell r="X27" t="str">
            <v>Delamping
(fewer lamps)</v>
          </cell>
          <cell r="AB27" t="str">
            <v>You cannot go from 2-lamps to 1-lamp and get to within 10% of source lumens.  However, if you are willing to drop source lumens by 17% to 25% (see below) and, perhaps use reflectors to increase efficiency… possibilities exist</v>
          </cell>
        </row>
        <row r="28">
          <cell r="T28">
            <v>2321</v>
          </cell>
          <cell r="W28" t="str">
            <v>Drop Source Lumens 10%-25%, maybe 
add reflectors</v>
          </cell>
          <cell r="X28" t="str">
            <v>Lowest Watts/
highest efficiency</v>
          </cell>
          <cell r="Y28" t="str">
            <v>Two F28T8/XL on Ultrastart L(.71)
45% Energy Savings
75% Life Increase
18% Light Reduction (mean)</v>
          </cell>
          <cell r="Z28" t="str">
            <v>Two F32T8/25W on Ultramax L
47% Energy Savings
67% Life Increase
17% Light Reduction (mean)</v>
          </cell>
          <cell r="AB28" t="str">
            <v>Once again, there are good options with both the F28 and the 25W F32 lamps.</v>
          </cell>
        </row>
        <row r="29">
          <cell r="T29">
            <v>2322</v>
          </cell>
          <cell r="X29" t="str">
            <v>Long Life
(also occ. sensors)</v>
          </cell>
          <cell r="Y29" t="str">
            <v>Two F32T8/SXL on Ultrastart L
36% Energy Savings
92% Life Increase
6% Light Reduction (mean)</v>
          </cell>
          <cell r="Z29" t="str">
            <v>Two F32T8/25W on Ultrastart N
38% Energy Savings
92% Life Increase
7% Light Reduction (mean)</v>
          </cell>
          <cell r="AA29" t="str">
            <v>Two F32T8/HL on Ultrastart L(.71)
36% Energy Savings
75% Life Increase
2% Light Increase (mean)</v>
          </cell>
          <cell r="AB29" t="str">
            <v>The SXL is the simplest long life choice, but the 25W F32 is also a candidate.  The HL system shown here is the most energy-efficient solution</v>
          </cell>
        </row>
        <row r="30">
          <cell r="T30">
            <v>2323</v>
          </cell>
          <cell r="X30" t="str">
            <v>Delamping
(fewer lamps)</v>
          </cell>
          <cell r="Y30" t="str">
            <v>One F32T8/HL on Ultramax H
45% Energy Savings
50% Life Increase
17% Light Reduction (mean)</v>
          </cell>
          <cell r="Z30" t="str">
            <v>One F32T8/HL on Ultrastart N
50% Energy Savings
75% Life Increase
25% Light Reduction (mean)</v>
          </cell>
          <cell r="AA30" t="str">
            <v>One F28T8/HL on Ultrastart H
47% Energy Savings
75% Life Increase
19% Light Reduction (mean)</v>
          </cell>
          <cell r="AB30" t="str">
            <v>If you are willing to drop source lumens by 17% to 25% and, perhaps use reflectors to increase efficiency… possibilities exist as shown here</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troduction"/>
      <sheetName val="Energy Savings Calculator"/>
      <sheetName val="Payback Calculator"/>
      <sheetName val="References"/>
      <sheetName val="Target Payback Calc"/>
      <sheetName val="3x18W"/>
      <sheetName val="4x18W"/>
      <sheetName val="3x36W"/>
      <sheetName val="4x36W"/>
      <sheetName val="2x36W"/>
      <sheetName val="2x58W"/>
      <sheetName val="FCE"/>
    </sheetNames>
    <sheetDataSet>
      <sheetData sheetId="0">
        <row r="27">
          <cell r="D27" t="str">
            <v>SEAI Sligo</v>
          </cell>
          <cell r="H27" t="str">
            <v>Office 1</v>
          </cell>
          <cell r="L27">
            <v>999</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4">
    <tabColor rgb="FFFFFF00"/>
  </sheetPr>
  <dimension ref="B2:L40"/>
  <sheetViews>
    <sheetView tabSelected="1" topLeftCell="A4" workbookViewId="0">
      <selection activeCell="B14" sqref="B14:L18"/>
    </sheetView>
  </sheetViews>
  <sheetFormatPr defaultRowHeight="15"/>
  <cols>
    <col min="1" max="10" width="9.140625" style="128"/>
    <col min="11" max="11" width="11" style="128" customWidth="1"/>
    <col min="12" max="16384" width="9.140625" style="128"/>
  </cols>
  <sheetData>
    <row r="2" spans="2:12">
      <c r="B2" s="215" t="s">
        <v>105</v>
      </c>
      <c r="C2" s="215"/>
      <c r="D2" s="215"/>
      <c r="E2" s="215"/>
      <c r="F2" s="215"/>
      <c r="G2" s="215"/>
      <c r="H2" s="215"/>
      <c r="I2" s="215"/>
      <c r="J2" s="216"/>
      <c r="K2" s="216"/>
      <c r="L2" s="216"/>
    </row>
    <row r="3" spans="2:12">
      <c r="B3" s="215"/>
      <c r="C3" s="215"/>
      <c r="D3" s="215"/>
      <c r="E3" s="215"/>
      <c r="F3" s="215"/>
      <c r="G3" s="215"/>
      <c r="H3" s="215"/>
      <c r="I3" s="215"/>
      <c r="J3" s="216"/>
      <c r="K3" s="216"/>
      <c r="L3" s="216"/>
    </row>
    <row r="4" spans="2:12">
      <c r="B4" s="215"/>
      <c r="C4" s="215"/>
      <c r="D4" s="215"/>
      <c r="E4" s="215"/>
      <c r="F4" s="215"/>
      <c r="G4" s="215"/>
      <c r="H4" s="215"/>
      <c r="I4" s="215"/>
      <c r="J4" s="216"/>
      <c r="K4" s="216"/>
      <c r="L4" s="216"/>
    </row>
    <row r="5" spans="2:12">
      <c r="B5" s="217"/>
      <c r="C5" s="217"/>
      <c r="D5" s="217"/>
      <c r="E5" s="217"/>
      <c r="F5" s="217"/>
      <c r="G5" s="217"/>
      <c r="H5" s="217"/>
      <c r="I5" s="217"/>
      <c r="J5" s="217"/>
      <c r="K5" s="217"/>
      <c r="L5" s="217"/>
    </row>
    <row r="6" spans="2:12">
      <c r="B6" s="218" t="s">
        <v>133</v>
      </c>
      <c r="C6" s="218"/>
      <c r="D6" s="218"/>
      <c r="E6" s="218"/>
      <c r="F6" s="218"/>
      <c r="G6" s="218"/>
      <c r="H6" s="218"/>
      <c r="I6" s="218"/>
      <c r="J6" s="218"/>
      <c r="K6" s="218"/>
      <c r="L6" s="218"/>
    </row>
    <row r="7" spans="2:12">
      <c r="B7" s="218"/>
      <c r="C7" s="218"/>
      <c r="D7" s="218"/>
      <c r="E7" s="218"/>
      <c r="F7" s="218"/>
      <c r="G7" s="218"/>
      <c r="H7" s="218"/>
      <c r="I7" s="218"/>
      <c r="J7" s="218"/>
      <c r="K7" s="218"/>
      <c r="L7" s="218"/>
    </row>
    <row r="8" spans="2:12">
      <c r="B8" s="218"/>
      <c r="C8" s="218"/>
      <c r="D8" s="218"/>
      <c r="E8" s="218"/>
      <c r="F8" s="218"/>
      <c r="G8" s="218"/>
      <c r="H8" s="218"/>
      <c r="I8" s="218"/>
      <c r="J8" s="218"/>
      <c r="K8" s="218"/>
      <c r="L8" s="218"/>
    </row>
    <row r="9" spans="2:12">
      <c r="B9" s="218"/>
      <c r="C9" s="218"/>
      <c r="D9" s="218"/>
      <c r="E9" s="218"/>
      <c r="F9" s="218"/>
      <c r="G9" s="218"/>
      <c r="H9" s="218"/>
      <c r="I9" s="218"/>
      <c r="J9" s="218"/>
      <c r="K9" s="218"/>
      <c r="L9" s="218"/>
    </row>
    <row r="10" spans="2:12">
      <c r="B10" s="218"/>
      <c r="C10" s="218"/>
      <c r="D10" s="218"/>
      <c r="E10" s="218"/>
      <c r="F10" s="218"/>
      <c r="G10" s="218"/>
      <c r="H10" s="218"/>
      <c r="I10" s="218"/>
      <c r="J10" s="218"/>
      <c r="K10" s="218"/>
      <c r="L10" s="218"/>
    </row>
    <row r="11" spans="2:12">
      <c r="B11" s="218"/>
      <c r="C11" s="218"/>
      <c r="D11" s="218"/>
      <c r="E11" s="218"/>
      <c r="F11" s="218"/>
      <c r="G11" s="218"/>
      <c r="H11" s="218"/>
      <c r="I11" s="218"/>
      <c r="J11" s="218"/>
      <c r="K11" s="218"/>
      <c r="L11" s="218"/>
    </row>
    <row r="12" spans="2:12">
      <c r="B12" s="218"/>
      <c r="C12" s="218"/>
      <c r="D12" s="218"/>
      <c r="E12" s="218"/>
      <c r="F12" s="218"/>
      <c r="G12" s="218"/>
      <c r="H12" s="218"/>
      <c r="I12" s="218"/>
      <c r="J12" s="218"/>
      <c r="K12" s="218"/>
      <c r="L12" s="218"/>
    </row>
    <row r="13" spans="2:12" ht="7.5" customHeight="1">
      <c r="B13" s="219"/>
      <c r="C13" s="219"/>
      <c r="D13" s="219"/>
      <c r="E13" s="219"/>
      <c r="F13" s="219"/>
      <c r="G13" s="219"/>
      <c r="H13" s="219"/>
      <c r="I13" s="219"/>
      <c r="J13" s="219"/>
      <c r="K13" s="219"/>
      <c r="L13" s="219"/>
    </row>
    <row r="14" spans="2:12" ht="15" customHeight="1">
      <c r="B14" s="220" t="s">
        <v>139</v>
      </c>
      <c r="C14" s="221"/>
      <c r="D14" s="221"/>
      <c r="E14" s="221"/>
      <c r="F14" s="221"/>
      <c r="G14" s="221"/>
      <c r="H14" s="221"/>
      <c r="I14" s="221"/>
      <c r="J14" s="221"/>
      <c r="K14" s="221"/>
      <c r="L14" s="222"/>
    </row>
    <row r="15" spans="2:12">
      <c r="B15" s="223"/>
      <c r="C15" s="224"/>
      <c r="D15" s="224"/>
      <c r="E15" s="224"/>
      <c r="F15" s="224"/>
      <c r="G15" s="224"/>
      <c r="H15" s="224"/>
      <c r="I15" s="224"/>
      <c r="J15" s="224"/>
      <c r="K15" s="224"/>
      <c r="L15" s="225"/>
    </row>
    <row r="16" spans="2:12">
      <c r="B16" s="223"/>
      <c r="C16" s="224"/>
      <c r="D16" s="224"/>
      <c r="E16" s="224"/>
      <c r="F16" s="224"/>
      <c r="G16" s="224"/>
      <c r="H16" s="224"/>
      <c r="I16" s="224"/>
      <c r="J16" s="224"/>
      <c r="K16" s="224"/>
      <c r="L16" s="225"/>
    </row>
    <row r="17" spans="2:12">
      <c r="B17" s="223"/>
      <c r="C17" s="224"/>
      <c r="D17" s="224"/>
      <c r="E17" s="224"/>
      <c r="F17" s="224"/>
      <c r="G17" s="224"/>
      <c r="H17" s="224"/>
      <c r="I17" s="224"/>
      <c r="J17" s="224"/>
      <c r="K17" s="224"/>
      <c r="L17" s="225"/>
    </row>
    <row r="18" spans="2:12">
      <c r="B18" s="226"/>
      <c r="C18" s="227"/>
      <c r="D18" s="227"/>
      <c r="E18" s="227"/>
      <c r="F18" s="227"/>
      <c r="G18" s="227"/>
      <c r="H18" s="227"/>
      <c r="I18" s="227"/>
      <c r="J18" s="227"/>
      <c r="K18" s="227"/>
      <c r="L18" s="228"/>
    </row>
    <row r="19" spans="2:12" ht="5.25" customHeight="1">
      <c r="B19" s="219"/>
      <c r="C19" s="219"/>
      <c r="D19" s="219"/>
      <c r="E19" s="219"/>
      <c r="F19" s="219"/>
      <c r="G19" s="219"/>
      <c r="H19" s="219"/>
      <c r="I19" s="219"/>
      <c r="J19" s="219"/>
      <c r="K19" s="219"/>
      <c r="L19" s="219"/>
    </row>
    <row r="20" spans="2:12">
      <c r="B20" s="218" t="s">
        <v>134</v>
      </c>
      <c r="C20" s="218"/>
      <c r="D20" s="218"/>
      <c r="E20" s="218"/>
      <c r="F20" s="218"/>
      <c r="G20" s="218"/>
      <c r="H20" s="218"/>
      <c r="I20" s="218"/>
      <c r="J20" s="218"/>
      <c r="K20" s="218"/>
      <c r="L20" s="218"/>
    </row>
    <row r="21" spans="2:12">
      <c r="B21" s="218"/>
      <c r="C21" s="218"/>
      <c r="D21" s="218"/>
      <c r="E21" s="218"/>
      <c r="F21" s="218"/>
      <c r="G21" s="218"/>
      <c r="H21" s="218"/>
      <c r="I21" s="218"/>
      <c r="J21" s="218"/>
      <c r="K21" s="218"/>
      <c r="L21" s="218"/>
    </row>
    <row r="22" spans="2:12">
      <c r="B22" s="218"/>
      <c r="C22" s="218"/>
      <c r="D22" s="218"/>
      <c r="E22" s="218"/>
      <c r="F22" s="218"/>
      <c r="G22" s="218"/>
      <c r="H22" s="218"/>
      <c r="I22" s="218"/>
      <c r="J22" s="218"/>
      <c r="K22" s="218"/>
      <c r="L22" s="218"/>
    </row>
    <row r="23" spans="2:12" ht="6" customHeight="1">
      <c r="B23" s="219"/>
      <c r="C23" s="219"/>
      <c r="D23" s="219"/>
      <c r="E23" s="219"/>
      <c r="F23" s="219"/>
      <c r="G23" s="219"/>
      <c r="H23" s="219"/>
      <c r="I23" s="219"/>
      <c r="J23" s="219"/>
      <c r="K23" s="219"/>
      <c r="L23" s="219"/>
    </row>
    <row r="24" spans="2:12">
      <c r="B24" s="229" t="s">
        <v>92</v>
      </c>
      <c r="C24" s="229"/>
      <c r="D24" s="229"/>
      <c r="E24" s="229"/>
      <c r="F24" s="229"/>
      <c r="G24" s="229"/>
      <c r="H24" s="229"/>
      <c r="I24" s="229"/>
      <c r="J24" s="229"/>
      <c r="K24" s="229"/>
      <c r="L24" s="229"/>
    </row>
    <row r="25" spans="2:12" ht="10.5" customHeight="1">
      <c r="B25" s="230"/>
      <c r="C25" s="230"/>
      <c r="D25" s="230"/>
      <c r="E25" s="230"/>
      <c r="F25" s="230"/>
      <c r="G25" s="230"/>
      <c r="H25" s="230"/>
      <c r="I25" s="230"/>
      <c r="J25" s="230"/>
      <c r="K25" s="230"/>
      <c r="L25" s="230"/>
    </row>
    <row r="26" spans="2:12">
      <c r="B26" s="231" t="s">
        <v>93</v>
      </c>
      <c r="C26" s="232" t="s">
        <v>94</v>
      </c>
      <c r="D26" s="232"/>
      <c r="E26" s="232"/>
      <c r="F26" s="232"/>
      <c r="G26" s="232"/>
      <c r="H26" s="232"/>
      <c r="I26" s="232"/>
      <c r="J26" s="232"/>
      <c r="K26" s="232"/>
      <c r="L26" s="232"/>
    </row>
    <row r="27" spans="2:12" ht="9" customHeight="1">
      <c r="B27" s="230"/>
      <c r="C27" s="230"/>
      <c r="D27" s="230"/>
      <c r="E27" s="230"/>
      <c r="F27" s="230"/>
      <c r="G27" s="230"/>
      <c r="H27" s="230"/>
      <c r="I27" s="230"/>
      <c r="J27" s="230"/>
      <c r="K27" s="230"/>
      <c r="L27" s="230"/>
    </row>
    <row r="28" spans="2:12">
      <c r="B28" s="233" t="s">
        <v>95</v>
      </c>
      <c r="C28" s="233"/>
      <c r="D28" s="213" t="s">
        <v>96</v>
      </c>
      <c r="E28" s="213"/>
      <c r="F28" s="233" t="s">
        <v>97</v>
      </c>
      <c r="G28" s="234"/>
      <c r="H28" s="213" t="s">
        <v>98</v>
      </c>
      <c r="I28" s="213"/>
      <c r="J28" s="233" t="s">
        <v>99</v>
      </c>
      <c r="K28" s="234"/>
      <c r="L28" s="214">
        <v>999</v>
      </c>
    </row>
    <row r="29" spans="2:12" ht="8.25" customHeight="1">
      <c r="B29" s="230"/>
      <c r="C29" s="230"/>
      <c r="D29" s="230"/>
      <c r="E29" s="230"/>
      <c r="F29" s="230"/>
      <c r="G29" s="230"/>
      <c r="H29" s="230"/>
      <c r="I29" s="230"/>
      <c r="J29" s="230"/>
      <c r="K29" s="230"/>
      <c r="L29" s="230"/>
    </row>
    <row r="30" spans="2:12" ht="15" customHeight="1">
      <c r="B30" s="235" t="s">
        <v>125</v>
      </c>
      <c r="C30" s="236"/>
      <c r="D30" s="236"/>
      <c r="E30" s="237"/>
      <c r="F30" s="229" t="s">
        <v>100</v>
      </c>
      <c r="G30" s="238"/>
      <c r="H30" s="213">
        <v>0.1772</v>
      </c>
      <c r="I30" s="213"/>
      <c r="J30" s="229" t="s">
        <v>101</v>
      </c>
      <c r="K30" s="238"/>
      <c r="L30" s="213">
        <v>2.5</v>
      </c>
    </row>
    <row r="31" spans="2:12">
      <c r="B31" s="239"/>
      <c r="C31" s="240"/>
      <c r="D31" s="240"/>
      <c r="E31" s="241"/>
      <c r="F31" s="238"/>
      <c r="G31" s="238"/>
      <c r="H31" s="213"/>
      <c r="I31" s="213"/>
      <c r="J31" s="238"/>
      <c r="K31" s="238"/>
      <c r="L31" s="213"/>
    </row>
    <row r="32" spans="2:12" ht="7.5" customHeight="1">
      <c r="B32" s="230"/>
      <c r="C32" s="230"/>
      <c r="D32" s="230"/>
      <c r="E32" s="230"/>
      <c r="F32" s="230"/>
      <c r="G32" s="230"/>
      <c r="H32" s="230"/>
      <c r="I32" s="230"/>
      <c r="J32" s="230"/>
      <c r="K32" s="230"/>
      <c r="L32" s="230"/>
    </row>
    <row r="33" spans="2:12">
      <c r="B33" s="229" t="s">
        <v>102</v>
      </c>
      <c r="C33" s="242" t="s">
        <v>126</v>
      </c>
      <c r="D33" s="242"/>
      <c r="E33" s="242"/>
      <c r="F33" s="242"/>
      <c r="G33" s="242"/>
      <c r="H33" s="242"/>
      <c r="I33" s="242"/>
      <c r="J33" s="242"/>
      <c r="K33" s="242"/>
      <c r="L33" s="242"/>
    </row>
    <row r="34" spans="2:12">
      <c r="B34" s="229"/>
      <c r="C34" s="242"/>
      <c r="D34" s="242"/>
      <c r="E34" s="242"/>
      <c r="F34" s="242"/>
      <c r="G34" s="242"/>
      <c r="H34" s="242"/>
      <c r="I34" s="242"/>
      <c r="J34" s="242"/>
      <c r="K34" s="242"/>
      <c r="L34" s="242"/>
    </row>
    <row r="35" spans="2:12" ht="6.75" customHeight="1">
      <c r="B35" s="230"/>
      <c r="C35" s="230"/>
      <c r="D35" s="230"/>
      <c r="E35" s="230"/>
      <c r="F35" s="230"/>
      <c r="G35" s="230"/>
      <c r="H35" s="230"/>
      <c r="I35" s="230"/>
      <c r="J35" s="230"/>
      <c r="K35" s="230"/>
      <c r="L35" s="230"/>
    </row>
    <row r="36" spans="2:12">
      <c r="B36" s="229" t="s">
        <v>103</v>
      </c>
      <c r="C36" s="232" t="s">
        <v>127</v>
      </c>
      <c r="D36" s="232"/>
      <c r="E36" s="232"/>
      <c r="F36" s="232"/>
      <c r="G36" s="232"/>
      <c r="H36" s="232"/>
      <c r="I36" s="232"/>
      <c r="J36" s="232"/>
      <c r="K36" s="232"/>
      <c r="L36" s="232"/>
    </row>
    <row r="37" spans="2:12">
      <c r="B37" s="229"/>
      <c r="C37" s="232"/>
      <c r="D37" s="232"/>
      <c r="E37" s="232"/>
      <c r="F37" s="232"/>
      <c r="G37" s="232"/>
      <c r="H37" s="232"/>
      <c r="I37" s="232"/>
      <c r="J37" s="232"/>
      <c r="K37" s="232"/>
      <c r="L37" s="232"/>
    </row>
    <row r="38" spans="2:12">
      <c r="B38" s="230"/>
      <c r="C38" s="230"/>
      <c r="D38" s="230"/>
      <c r="E38" s="230"/>
      <c r="F38" s="230"/>
      <c r="G38" s="230"/>
      <c r="H38" s="230"/>
      <c r="I38" s="230"/>
      <c r="J38" s="230"/>
      <c r="K38" s="230"/>
      <c r="L38" s="230"/>
    </row>
    <row r="39" spans="2:12">
      <c r="B39" s="229" t="s">
        <v>104</v>
      </c>
      <c r="C39" s="229"/>
      <c r="D39" s="243" t="s">
        <v>119</v>
      </c>
      <c r="E39" s="243"/>
      <c r="F39" s="243"/>
      <c r="G39" s="243"/>
      <c r="H39" s="243"/>
      <c r="I39" s="243"/>
      <c r="J39" s="243"/>
      <c r="K39" s="243"/>
      <c r="L39" s="243"/>
    </row>
    <row r="40" spans="2:12" ht="44.25" customHeight="1">
      <c r="B40" s="229"/>
      <c r="C40" s="229"/>
      <c r="D40" s="243"/>
      <c r="E40" s="243"/>
      <c r="F40" s="243"/>
      <c r="G40" s="243"/>
      <c r="H40" s="243"/>
      <c r="I40" s="243"/>
      <c r="J40" s="243"/>
      <c r="K40" s="243"/>
      <c r="L40" s="243"/>
    </row>
  </sheetData>
  <sheetProtection password="9E49" sheet="1" objects="1" scenarios="1"/>
  <mergeCells count="33">
    <mergeCell ref="C26:L26"/>
    <mergeCell ref="B2:I4"/>
    <mergeCell ref="J2:L4"/>
    <mergeCell ref="B5:L5"/>
    <mergeCell ref="B6:L12"/>
    <mergeCell ref="B13:L13"/>
    <mergeCell ref="B19:L19"/>
    <mergeCell ref="B20:L22"/>
    <mergeCell ref="B23:L23"/>
    <mergeCell ref="B24:L24"/>
    <mergeCell ref="B25:L25"/>
    <mergeCell ref="B27:L27"/>
    <mergeCell ref="B28:C28"/>
    <mergeCell ref="D28:E28"/>
    <mergeCell ref="F28:G28"/>
    <mergeCell ref="H28:I28"/>
    <mergeCell ref="J28:K28"/>
    <mergeCell ref="B38:L38"/>
    <mergeCell ref="B39:C40"/>
    <mergeCell ref="D39:L40"/>
    <mergeCell ref="B14:L18"/>
    <mergeCell ref="B30:E31"/>
    <mergeCell ref="B32:L32"/>
    <mergeCell ref="B33:B34"/>
    <mergeCell ref="C33:L34"/>
    <mergeCell ref="B35:L35"/>
    <mergeCell ref="B36:B37"/>
    <mergeCell ref="C36:L37"/>
    <mergeCell ref="B29:L29"/>
    <mergeCell ref="F30:G31"/>
    <mergeCell ref="H30:I31"/>
    <mergeCell ref="J30:K31"/>
    <mergeCell ref="L30:L31"/>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sheetPr codeName="Sheet10"/>
  <dimension ref="B3:H7"/>
  <sheetViews>
    <sheetView workbookViewId="0">
      <selection activeCell="E3" sqref="E3:E4"/>
    </sheetView>
  </sheetViews>
  <sheetFormatPr defaultRowHeight="15"/>
  <cols>
    <col min="9" max="9" width="14" customWidth="1"/>
  </cols>
  <sheetData>
    <row r="3" spans="2:8">
      <c r="B3" s="105" t="s">
        <v>13</v>
      </c>
      <c r="E3" t="s">
        <v>79</v>
      </c>
      <c r="H3" t="s">
        <v>75</v>
      </c>
    </row>
    <row r="4" spans="2:8">
      <c r="B4" s="105" t="s">
        <v>14</v>
      </c>
      <c r="E4" t="s">
        <v>80</v>
      </c>
      <c r="H4" t="s">
        <v>85</v>
      </c>
    </row>
    <row r="5" spans="2:8">
      <c r="B5" s="105" t="s">
        <v>15</v>
      </c>
    </row>
    <row r="6" spans="2:8">
      <c r="B6" s="105" t="s">
        <v>16</v>
      </c>
    </row>
    <row r="7" spans="2:8">
      <c r="B7" s="105" t="s">
        <v>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sheetPr codeName="Sheet11"/>
  <dimension ref="A1"/>
  <sheetViews>
    <sheetView workbookViewId="0">
      <selection activeCell="K14" sqref="K14"/>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5">
    <tabColor rgb="FFFF0000"/>
  </sheetPr>
  <dimension ref="A1:R35"/>
  <sheetViews>
    <sheetView workbookViewId="0">
      <selection activeCell="F25" sqref="F25"/>
    </sheetView>
  </sheetViews>
  <sheetFormatPr defaultRowHeight="15"/>
  <cols>
    <col min="1" max="1" width="2.28515625" style="128" customWidth="1"/>
    <col min="2" max="2" width="9.140625" style="128"/>
    <col min="3" max="4" width="10.7109375" style="128" customWidth="1"/>
    <col min="5" max="5" width="13" style="128" customWidth="1"/>
    <col min="6" max="6" width="11.140625" style="128" customWidth="1"/>
    <col min="7" max="7" width="8.85546875" style="128" customWidth="1"/>
    <col min="8" max="8" width="11" style="128" customWidth="1"/>
    <col min="9" max="9" width="9.140625" style="128"/>
    <col min="10" max="10" width="10.140625" style="128" customWidth="1"/>
    <col min="11" max="11" width="9.28515625" style="128" customWidth="1"/>
    <col min="12" max="12" width="8.85546875" style="128" customWidth="1"/>
    <col min="13" max="13" width="9.28515625" style="128" bestFit="1" customWidth="1"/>
    <col min="14" max="14" width="9.85546875" style="128" customWidth="1"/>
    <col min="15" max="15" width="11.7109375" style="128" customWidth="1"/>
    <col min="16" max="16" width="9.140625" style="128"/>
    <col min="17" max="17" width="8.28515625" style="128" customWidth="1"/>
    <col min="18" max="18" width="12.140625" style="128" customWidth="1"/>
    <col min="19" max="16384" width="9.140625" style="128"/>
  </cols>
  <sheetData>
    <row r="1" spans="1:18" ht="15" customHeight="1">
      <c r="B1" s="229" t="s">
        <v>113</v>
      </c>
      <c r="C1" s="229"/>
      <c r="D1" s="229"/>
      <c r="E1" s="247" t="s">
        <v>108</v>
      </c>
      <c r="F1" s="247"/>
      <c r="G1" s="294" t="str">
        <f>[2]Introduction!D27</f>
        <v>SEAI Sligo</v>
      </c>
      <c r="H1" s="294"/>
      <c r="I1" s="239" t="s">
        <v>109</v>
      </c>
      <c r="J1" s="240"/>
      <c r="K1" s="240"/>
      <c r="L1" s="241"/>
      <c r="M1" s="248">
        <f>M32+N32+O32</f>
        <v>956092.06915921357</v>
      </c>
      <c r="N1" s="249"/>
      <c r="O1" s="250"/>
      <c r="P1" s="251"/>
      <c r="Q1" s="251"/>
      <c r="R1" s="251"/>
    </row>
    <row r="2" spans="1:18">
      <c r="B2" s="229"/>
      <c r="C2" s="229"/>
      <c r="D2" s="229"/>
      <c r="E2" s="247" t="s">
        <v>110</v>
      </c>
      <c r="F2" s="247"/>
      <c r="G2" s="294" t="str">
        <f>[2]Introduction!H27</f>
        <v>Office 1</v>
      </c>
      <c r="H2" s="294"/>
      <c r="I2" s="252"/>
      <c r="J2" s="253"/>
      <c r="K2" s="253"/>
      <c r="L2" s="253"/>
      <c r="M2" s="253"/>
      <c r="N2" s="254"/>
      <c r="O2" s="250"/>
      <c r="P2" s="251"/>
      <c r="Q2" s="251"/>
      <c r="R2" s="251"/>
    </row>
    <row r="3" spans="1:18" ht="15" customHeight="1">
      <c r="B3" s="229"/>
      <c r="C3" s="229"/>
      <c r="D3" s="229"/>
      <c r="E3" s="247" t="s">
        <v>111</v>
      </c>
      <c r="F3" s="247"/>
      <c r="G3" s="294">
        <f>[2]Introduction!L27</f>
        <v>999</v>
      </c>
      <c r="H3" s="294"/>
      <c r="I3" s="252" t="s">
        <v>112</v>
      </c>
      <c r="J3" s="253"/>
      <c r="K3" s="253"/>
      <c r="L3" s="254"/>
      <c r="M3" s="295">
        <f>P32+Q32+R32</f>
        <v>2390230.1728980341</v>
      </c>
      <c r="N3" s="296"/>
      <c r="O3" s="255"/>
      <c r="P3" s="256"/>
      <c r="Q3" s="256"/>
      <c r="R3" s="256"/>
    </row>
    <row r="4" spans="1:18" ht="33" customHeight="1">
      <c r="A4" s="257"/>
      <c r="B4" s="258" t="s">
        <v>131</v>
      </c>
      <c r="C4" s="244" t="s">
        <v>85</v>
      </c>
      <c r="D4" s="245" t="s">
        <v>80</v>
      </c>
      <c r="E4" s="245" t="s">
        <v>13</v>
      </c>
      <c r="F4" s="259" t="s">
        <v>135</v>
      </c>
      <c r="G4" s="260" t="s">
        <v>91</v>
      </c>
      <c r="H4" s="261"/>
      <c r="I4" s="262"/>
      <c r="J4" s="263" t="s">
        <v>11</v>
      </c>
      <c r="K4" s="263"/>
      <c r="L4" s="263"/>
      <c r="M4" s="263" t="s">
        <v>89</v>
      </c>
      <c r="N4" s="263"/>
      <c r="O4" s="263"/>
      <c r="P4" s="291" t="s">
        <v>107</v>
      </c>
      <c r="Q4" s="292"/>
      <c r="R4" s="293"/>
    </row>
    <row r="5" spans="1:18" ht="15" customHeight="1">
      <c r="B5" s="264" t="s">
        <v>124</v>
      </c>
      <c r="C5" s="274" t="s">
        <v>84</v>
      </c>
      <c r="D5" s="274"/>
      <c r="E5" s="274"/>
      <c r="F5" s="266"/>
      <c r="G5" s="267"/>
      <c r="H5" s="268"/>
      <c r="I5" s="269"/>
      <c r="J5" s="265" t="s">
        <v>84</v>
      </c>
      <c r="K5" s="265"/>
      <c r="L5" s="265"/>
      <c r="M5" s="265" t="s">
        <v>84</v>
      </c>
      <c r="N5" s="265"/>
      <c r="O5" s="265"/>
      <c r="P5" s="274" t="s">
        <v>84</v>
      </c>
      <c r="Q5" s="274"/>
      <c r="R5" s="274"/>
    </row>
    <row r="6" spans="1:18" ht="36.75" customHeight="1">
      <c r="B6" s="270" t="s">
        <v>0</v>
      </c>
      <c r="C6" s="271" t="str">
        <f>J6</f>
        <v>VSD (Existing Motor)</v>
      </c>
      <c r="D6" s="270" t="str">
        <f t="shared" ref="D6:E6" si="0">K6</f>
        <v>EE Motor</v>
      </c>
      <c r="E6" s="270" t="str">
        <f t="shared" si="0"/>
        <v xml:space="preserve">VSD and EE Motor </v>
      </c>
      <c r="F6" s="270" t="str">
        <f>Calculations!B5</f>
        <v>Hours of Operation</v>
      </c>
      <c r="G6" s="272" t="str">
        <f>Calculations!C5</f>
        <v>Existing motor Efficiency</v>
      </c>
      <c r="H6" s="273" t="str">
        <f>Calculations!D5</f>
        <v>New Motor Efficiency   %</v>
      </c>
      <c r="I6" s="270" t="str">
        <f>Calculations!E5</f>
        <v>Load Factor %</v>
      </c>
      <c r="J6" s="272" t="str">
        <f>Calculations!J5</f>
        <v>VSD (Existing Motor)</v>
      </c>
      <c r="K6" s="270" t="str">
        <f>Calculations!K5</f>
        <v>EE Motor</v>
      </c>
      <c r="L6" s="270" t="str">
        <f>Calculations!L5</f>
        <v xml:space="preserve">VSD and EE Motor </v>
      </c>
      <c r="M6" s="272" t="str">
        <f>J6</f>
        <v>VSD (Existing Motor)</v>
      </c>
      <c r="N6" s="270" t="str">
        <f t="shared" ref="N6:O6" si="1">K6</f>
        <v>EE Motor</v>
      </c>
      <c r="O6" s="270" t="str">
        <f t="shared" si="1"/>
        <v xml:space="preserve">VSD and EE Motor </v>
      </c>
      <c r="P6" s="291" t="str">
        <f>M6</f>
        <v>VSD (Existing Motor)</v>
      </c>
      <c r="Q6" s="292" t="str">
        <f t="shared" ref="Q6:R6" si="2">N6</f>
        <v>EE Motor</v>
      </c>
      <c r="R6" s="293" t="str">
        <f t="shared" si="2"/>
        <v xml:space="preserve">VSD and EE Motor </v>
      </c>
    </row>
    <row r="7" spans="1:18">
      <c r="B7" s="270" t="s">
        <v>90</v>
      </c>
      <c r="C7" s="274" t="s">
        <v>88</v>
      </c>
      <c r="D7" s="274"/>
      <c r="E7" s="274"/>
      <c r="F7" s="275"/>
      <c r="G7" s="267"/>
      <c r="H7" s="268"/>
      <c r="I7" s="269"/>
      <c r="J7" s="276">
        <f>Calculations!J6</f>
        <v>0.28000000000000003</v>
      </c>
      <c r="K7" s="277"/>
      <c r="L7" s="277"/>
      <c r="M7" s="278"/>
      <c r="N7" s="279"/>
      <c r="O7" s="280"/>
      <c r="P7" s="278"/>
      <c r="Q7" s="279"/>
      <c r="R7" s="280"/>
    </row>
    <row r="8" spans="1:18" ht="16.5" customHeight="1">
      <c r="B8" s="281">
        <f>Calculations!A7</f>
        <v>0.75</v>
      </c>
      <c r="C8" s="246">
        <v>0</v>
      </c>
      <c r="D8" s="246"/>
      <c r="E8" s="246">
        <v>10</v>
      </c>
      <c r="F8" s="135">
        <f>Calculations!B7</f>
        <v>3800</v>
      </c>
      <c r="G8" s="283">
        <f>Calculations!C7</f>
        <v>72.099999999999994</v>
      </c>
      <c r="H8" s="284">
        <f>Calculations!D7</f>
        <v>84</v>
      </c>
      <c r="I8" s="285">
        <f>Calculations!E7</f>
        <v>0.55000000000000004</v>
      </c>
      <c r="J8" s="286">
        <f>Calculations!J7</f>
        <v>608.73786407767</v>
      </c>
      <c r="K8" s="286">
        <f>Calculations!K7</f>
        <v>307.99237170596405</v>
      </c>
      <c r="L8" s="286">
        <f>Calculations!L7</f>
        <v>830.49237170596416</v>
      </c>
      <c r="M8" s="287">
        <f t="shared" ref="M8:M31" si="3">J8*C8</f>
        <v>0</v>
      </c>
      <c r="N8" s="287">
        <f t="shared" ref="N8:N31" si="4">K8*D8</f>
        <v>0</v>
      </c>
      <c r="O8" s="287">
        <f t="shared" ref="O8:O31" si="5">L8*E8</f>
        <v>8304.9237170596425</v>
      </c>
      <c r="P8" s="288">
        <f>M8*Introduction!$L$30</f>
        <v>0</v>
      </c>
      <c r="Q8" s="288">
        <f>N8*Introduction!$L$30</f>
        <v>0</v>
      </c>
      <c r="R8" s="288">
        <f>O8*Introduction!$L$30</f>
        <v>20762.309292649108</v>
      </c>
    </row>
    <row r="9" spans="1:18" ht="15.75" customHeight="1">
      <c r="B9" s="281">
        <f>Calculations!A8</f>
        <v>1.1000000000000001</v>
      </c>
      <c r="C9" s="246"/>
      <c r="D9" s="246">
        <v>0</v>
      </c>
      <c r="E9" s="246">
        <v>0</v>
      </c>
      <c r="F9" s="135">
        <f>Calculations!B8</f>
        <v>3800</v>
      </c>
      <c r="G9" s="283">
        <f>Calculations!C8</f>
        <v>75.099999999999994</v>
      </c>
      <c r="H9" s="284">
        <f>Calculations!D8</f>
        <v>85.3</v>
      </c>
      <c r="I9" s="285">
        <f>Calculations!E8</f>
        <v>0.55000000000000004</v>
      </c>
      <c r="J9" s="286">
        <f>Calculations!J8</f>
        <v>857.15046604527333</v>
      </c>
      <c r="K9" s="286">
        <f>Calculations!K8</f>
        <v>366.0582295118819</v>
      </c>
      <c r="L9" s="286">
        <f>Calculations!L8</f>
        <v>1120.7123912938282</v>
      </c>
      <c r="M9" s="287">
        <f t="shared" si="3"/>
        <v>0</v>
      </c>
      <c r="N9" s="287">
        <f t="shared" si="4"/>
        <v>0</v>
      </c>
      <c r="O9" s="287">
        <f t="shared" si="5"/>
        <v>0</v>
      </c>
      <c r="P9" s="288">
        <f>M9*Introduction!$L$30</f>
        <v>0</v>
      </c>
      <c r="Q9" s="288">
        <f>N9*Introduction!$L$30</f>
        <v>0</v>
      </c>
      <c r="R9" s="288">
        <f>O9*Introduction!$L$30</f>
        <v>0</v>
      </c>
    </row>
    <row r="10" spans="1:18">
      <c r="B10" s="281">
        <f>Calculations!A9</f>
        <v>1.5</v>
      </c>
      <c r="C10" s="246"/>
      <c r="D10" s="246"/>
      <c r="E10" s="246">
        <v>0</v>
      </c>
      <c r="F10" s="135">
        <f>Calculations!B9</f>
        <v>3800</v>
      </c>
      <c r="G10" s="283">
        <f>Calculations!C9</f>
        <v>77.2</v>
      </c>
      <c r="H10" s="284">
        <f>Calculations!D9</f>
        <v>86.3</v>
      </c>
      <c r="I10" s="285">
        <f>Calculations!E9</f>
        <v>0.55000000000000004</v>
      </c>
      <c r="J10" s="286">
        <f>Calculations!J9</f>
        <v>1137.0466321243528</v>
      </c>
      <c r="K10" s="286">
        <f>Calculations!K9</f>
        <v>428.20411986143029</v>
      </c>
      <c r="L10" s="286">
        <f>Calculations!L9</f>
        <v>1445.3535984245823</v>
      </c>
      <c r="M10" s="287">
        <f t="shared" si="3"/>
        <v>0</v>
      </c>
      <c r="N10" s="287">
        <f t="shared" si="4"/>
        <v>0</v>
      </c>
      <c r="O10" s="287">
        <f t="shared" si="5"/>
        <v>0</v>
      </c>
      <c r="P10" s="288">
        <f>M10*Introduction!$L$30</f>
        <v>0</v>
      </c>
      <c r="Q10" s="288">
        <f>N10*Introduction!$L$30</f>
        <v>0</v>
      </c>
      <c r="R10" s="288">
        <f>O10*Introduction!$L$30</f>
        <v>0</v>
      </c>
    </row>
    <row r="11" spans="1:18">
      <c r="B11" s="281">
        <f>Calculations!A10</f>
        <v>2.2000000000000002</v>
      </c>
      <c r="C11" s="246"/>
      <c r="D11" s="246"/>
      <c r="E11" s="246">
        <v>0</v>
      </c>
      <c r="F11" s="135">
        <f>Calculations!B10</f>
        <v>3800</v>
      </c>
      <c r="G11" s="283">
        <f>Calculations!C10</f>
        <v>79.7</v>
      </c>
      <c r="H11" s="284">
        <f>Calculations!D10</f>
        <v>87.5</v>
      </c>
      <c r="I11" s="285">
        <f>Calculations!E10</f>
        <v>0.55000000000000004</v>
      </c>
      <c r="J11" s="286">
        <f>Calculations!J10</f>
        <v>1615.3575909661236</v>
      </c>
      <c r="K11" s="286">
        <f>Calculations!K10</f>
        <v>514.27711059329613</v>
      </c>
      <c r="L11" s="286">
        <f>Calculations!L10</f>
        <v>1985.6371105932965</v>
      </c>
      <c r="M11" s="287">
        <f t="shared" si="3"/>
        <v>0</v>
      </c>
      <c r="N11" s="287">
        <f t="shared" si="4"/>
        <v>0</v>
      </c>
      <c r="O11" s="287">
        <f t="shared" si="5"/>
        <v>0</v>
      </c>
      <c r="P11" s="288">
        <f>M11*Introduction!$L$30</f>
        <v>0</v>
      </c>
      <c r="Q11" s="288">
        <f>N11*Introduction!$L$30</f>
        <v>0</v>
      </c>
      <c r="R11" s="288">
        <f>O11*Introduction!$L$30</f>
        <v>0</v>
      </c>
    </row>
    <row r="12" spans="1:18">
      <c r="B12" s="281">
        <f>Calculations!A11</f>
        <v>3</v>
      </c>
      <c r="C12" s="246"/>
      <c r="D12" s="246">
        <v>0</v>
      </c>
      <c r="E12" s="246">
        <v>0</v>
      </c>
      <c r="F12" s="135">
        <f>Calculations!B11</f>
        <v>3800</v>
      </c>
      <c r="G12" s="283">
        <f>Calculations!C11</f>
        <v>81.5</v>
      </c>
      <c r="H12" s="284">
        <f>Calculations!D11</f>
        <v>88.4</v>
      </c>
      <c r="I12" s="285">
        <f>Calculations!E11</f>
        <v>0.55000000000000004</v>
      </c>
      <c r="J12" s="286">
        <f>Calculations!J11</f>
        <v>2154.1104294478532</v>
      </c>
      <c r="K12" s="286">
        <f>Calculations!K11</f>
        <v>600.49135274685648</v>
      </c>
      <c r="L12" s="286">
        <f>Calculations!L11</f>
        <v>2586.4642034255899</v>
      </c>
      <c r="M12" s="287">
        <f t="shared" si="3"/>
        <v>0</v>
      </c>
      <c r="N12" s="287">
        <f t="shared" si="4"/>
        <v>0</v>
      </c>
      <c r="O12" s="287">
        <f t="shared" si="5"/>
        <v>0</v>
      </c>
      <c r="P12" s="288">
        <f>M12*Introduction!$L$30</f>
        <v>0</v>
      </c>
      <c r="Q12" s="288">
        <f>N12*Introduction!$L$30</f>
        <v>0</v>
      </c>
      <c r="R12" s="288">
        <f>O12*Introduction!$L$30</f>
        <v>0</v>
      </c>
    </row>
    <row r="13" spans="1:18">
      <c r="B13" s="281">
        <f>Calculations!A12</f>
        <v>4</v>
      </c>
      <c r="C13" s="246">
        <v>0</v>
      </c>
      <c r="D13" s="246"/>
      <c r="E13" s="246">
        <v>0</v>
      </c>
      <c r="F13" s="135">
        <f>Calculations!B12</f>
        <v>3050</v>
      </c>
      <c r="G13" s="283">
        <f>Calculations!C12</f>
        <v>83.1</v>
      </c>
      <c r="H13" s="284">
        <f>Calculations!D12</f>
        <v>89.2</v>
      </c>
      <c r="I13" s="285">
        <f>Calculations!E12</f>
        <v>0.6</v>
      </c>
      <c r="J13" s="286">
        <f>Calculations!J12</f>
        <v>2466.4259927797839</v>
      </c>
      <c r="K13" s="286">
        <f>Calculations!K12</f>
        <v>602.38623302196947</v>
      </c>
      <c r="L13" s="286">
        <f>Calculations!L12</f>
        <v>2900.1440805556017</v>
      </c>
      <c r="M13" s="287">
        <f t="shared" si="3"/>
        <v>0</v>
      </c>
      <c r="N13" s="287">
        <f t="shared" si="4"/>
        <v>0</v>
      </c>
      <c r="O13" s="287">
        <f t="shared" si="5"/>
        <v>0</v>
      </c>
      <c r="P13" s="288">
        <f>M13*Introduction!$L$30</f>
        <v>0</v>
      </c>
      <c r="Q13" s="288">
        <f>N13*Introduction!$L$30</f>
        <v>0</v>
      </c>
      <c r="R13" s="288">
        <f>O13*Introduction!$L$30</f>
        <v>0</v>
      </c>
    </row>
    <row r="14" spans="1:18">
      <c r="B14" s="281">
        <f>Calculations!A13</f>
        <v>5.5</v>
      </c>
      <c r="C14" s="246"/>
      <c r="D14" s="246">
        <v>0</v>
      </c>
      <c r="E14" s="246">
        <v>4</v>
      </c>
      <c r="F14" s="135">
        <f>Calculations!B13</f>
        <v>3050</v>
      </c>
      <c r="G14" s="283">
        <f>Calculations!C13</f>
        <v>84.7</v>
      </c>
      <c r="H14" s="284">
        <f>Calculations!D13</f>
        <v>90</v>
      </c>
      <c r="I14" s="285">
        <f>Calculations!E13</f>
        <v>0.6</v>
      </c>
      <c r="J14" s="286">
        <f>Calculations!J13</f>
        <v>3327.2727272727275</v>
      </c>
      <c r="K14" s="286">
        <f>Calculations!K13</f>
        <v>699.78354978354889</v>
      </c>
      <c r="L14" s="286">
        <f>Calculations!L13</f>
        <v>3831.1168831168825</v>
      </c>
      <c r="M14" s="287">
        <f t="shared" si="3"/>
        <v>0</v>
      </c>
      <c r="N14" s="287">
        <f t="shared" si="4"/>
        <v>0</v>
      </c>
      <c r="O14" s="287">
        <f t="shared" si="5"/>
        <v>15324.46753246753</v>
      </c>
      <c r="P14" s="288">
        <f>M14*Introduction!$L$30</f>
        <v>0</v>
      </c>
      <c r="Q14" s="288">
        <f>N14*Introduction!$L$30</f>
        <v>0</v>
      </c>
      <c r="R14" s="288">
        <f>O14*Introduction!$L$30</f>
        <v>38311.168831168827</v>
      </c>
    </row>
    <row r="15" spans="1:18">
      <c r="B15" s="281">
        <f>Calculations!A14</f>
        <v>7.5</v>
      </c>
      <c r="C15" s="246"/>
      <c r="D15" s="246"/>
      <c r="E15" s="246">
        <v>0</v>
      </c>
      <c r="F15" s="135">
        <f>Calculations!B14</f>
        <v>3050</v>
      </c>
      <c r="G15" s="283">
        <f>Calculations!C14</f>
        <v>86.1</v>
      </c>
      <c r="H15" s="284">
        <f>Calculations!D14</f>
        <v>90.8</v>
      </c>
      <c r="I15" s="285">
        <f>Calculations!E14</f>
        <v>0.6</v>
      </c>
      <c r="J15" s="286">
        <f>Calculations!J14</f>
        <v>4463.414634146342</v>
      </c>
      <c r="K15" s="286">
        <f>Calculations!K14</f>
        <v>825.12778400282275</v>
      </c>
      <c r="L15" s="286">
        <f>Calculations!L14</f>
        <v>5057.5066386283734</v>
      </c>
      <c r="M15" s="287">
        <f t="shared" si="3"/>
        <v>0</v>
      </c>
      <c r="N15" s="287">
        <f t="shared" si="4"/>
        <v>0</v>
      </c>
      <c r="O15" s="287">
        <f t="shared" si="5"/>
        <v>0</v>
      </c>
      <c r="P15" s="288">
        <f>M15*Introduction!$L$30</f>
        <v>0</v>
      </c>
      <c r="Q15" s="288">
        <f>N15*Introduction!$L$30</f>
        <v>0</v>
      </c>
      <c r="R15" s="288">
        <f>O15*Introduction!$L$30</f>
        <v>0</v>
      </c>
    </row>
    <row r="16" spans="1:18">
      <c r="B16" s="281">
        <f>Calculations!A15</f>
        <v>11</v>
      </c>
      <c r="C16" s="246"/>
      <c r="D16" s="246"/>
      <c r="E16" s="246">
        <v>0</v>
      </c>
      <c r="F16" s="135">
        <f>Calculations!B15</f>
        <v>3000</v>
      </c>
      <c r="G16" s="283">
        <f>Calculations!C15</f>
        <v>87.6</v>
      </c>
      <c r="H16" s="284">
        <f>Calculations!D15</f>
        <v>91.7</v>
      </c>
      <c r="I16" s="285">
        <f>Calculations!E15</f>
        <v>0.6</v>
      </c>
      <c r="J16" s="286">
        <f>Calculations!J15</f>
        <v>6328.7671232876719</v>
      </c>
      <c r="K16" s="286">
        <f>Calculations!K15</f>
        <v>1010.5914163218376</v>
      </c>
      <c r="L16" s="286">
        <f>Calculations!L15</f>
        <v>7056.3929430393955</v>
      </c>
      <c r="M16" s="287">
        <f t="shared" si="3"/>
        <v>0</v>
      </c>
      <c r="N16" s="287">
        <f t="shared" si="4"/>
        <v>0</v>
      </c>
      <c r="O16" s="287">
        <f t="shared" si="5"/>
        <v>0</v>
      </c>
      <c r="P16" s="288">
        <f>M16*Introduction!$L$30</f>
        <v>0</v>
      </c>
      <c r="Q16" s="288">
        <f>N16*Introduction!$L$30</f>
        <v>0</v>
      </c>
      <c r="R16" s="288">
        <f>O16*Introduction!$L$30</f>
        <v>0</v>
      </c>
    </row>
    <row r="17" spans="2:18">
      <c r="B17" s="281">
        <f>Calculations!A16</f>
        <v>15</v>
      </c>
      <c r="C17" s="246"/>
      <c r="D17" s="246"/>
      <c r="E17" s="246">
        <v>0</v>
      </c>
      <c r="F17" s="135">
        <f>Calculations!B16</f>
        <v>3000</v>
      </c>
      <c r="G17" s="283">
        <f>Calculations!C16</f>
        <v>88.7</v>
      </c>
      <c r="H17" s="284">
        <f>Calculations!D16</f>
        <v>92.3</v>
      </c>
      <c r="I17" s="285">
        <f>Calculations!E16</f>
        <v>0.6</v>
      </c>
      <c r="J17" s="286">
        <f>Calculations!J16</f>
        <v>8523.1116121758751</v>
      </c>
      <c r="K17" s="286">
        <f>Calculations!K16</f>
        <v>1187.2466260576186</v>
      </c>
      <c r="L17" s="286">
        <f>Calculations!L16</f>
        <v>9377.9291829373597</v>
      </c>
      <c r="M17" s="287">
        <f t="shared" si="3"/>
        <v>0</v>
      </c>
      <c r="N17" s="287">
        <f t="shared" si="4"/>
        <v>0</v>
      </c>
      <c r="O17" s="287">
        <f t="shared" si="5"/>
        <v>0</v>
      </c>
      <c r="P17" s="288">
        <f>M17*Introduction!$L$30</f>
        <v>0</v>
      </c>
      <c r="Q17" s="288">
        <f>N17*Introduction!$L$30</f>
        <v>0</v>
      </c>
      <c r="R17" s="288">
        <f>O17*Introduction!$L$30</f>
        <v>0</v>
      </c>
    </row>
    <row r="18" spans="2:18">
      <c r="B18" s="281">
        <f>Calculations!A17</f>
        <v>18.5</v>
      </c>
      <c r="C18" s="246"/>
      <c r="D18" s="246"/>
      <c r="E18" s="246">
        <v>0</v>
      </c>
      <c r="F18" s="135">
        <f>Calculations!B17</f>
        <v>3000</v>
      </c>
      <c r="G18" s="283">
        <f>Calculations!C17</f>
        <v>89.4</v>
      </c>
      <c r="H18" s="284">
        <f>Calculations!D17</f>
        <v>92.7</v>
      </c>
      <c r="I18" s="285">
        <f>Calculations!E17</f>
        <v>0.6</v>
      </c>
      <c r="J18" s="286">
        <f>Calculations!J17</f>
        <v>10429.530201342281</v>
      </c>
      <c r="K18" s="286">
        <f>Calculations!K17</f>
        <v>1325.9920505636289</v>
      </c>
      <c r="L18" s="286">
        <f>Calculations!L17</f>
        <v>11384.244477748098</v>
      </c>
      <c r="M18" s="287">
        <f t="shared" si="3"/>
        <v>0</v>
      </c>
      <c r="N18" s="287">
        <f t="shared" si="4"/>
        <v>0</v>
      </c>
      <c r="O18" s="287">
        <f t="shared" si="5"/>
        <v>0</v>
      </c>
      <c r="P18" s="288">
        <f>M18*Introduction!$L$30</f>
        <v>0</v>
      </c>
      <c r="Q18" s="288">
        <f>N18*Introduction!$L$30</f>
        <v>0</v>
      </c>
      <c r="R18" s="288">
        <f>O18*Introduction!$L$30</f>
        <v>0</v>
      </c>
    </row>
    <row r="19" spans="2:18">
      <c r="B19" s="281">
        <f>Calculations!A18</f>
        <v>22</v>
      </c>
      <c r="C19" s="246"/>
      <c r="D19" s="246"/>
      <c r="E19" s="246">
        <v>0</v>
      </c>
      <c r="F19" s="135">
        <f>Calculations!B18</f>
        <v>3000</v>
      </c>
      <c r="G19" s="283">
        <f>Calculations!C18</f>
        <v>89.9</v>
      </c>
      <c r="H19" s="284">
        <f>Calculations!D18</f>
        <v>93.1</v>
      </c>
      <c r="I19" s="285">
        <f>Calculations!E18</f>
        <v>0.6</v>
      </c>
      <c r="J19" s="286">
        <f>Calculations!J18</f>
        <v>12333.704115684093</v>
      </c>
      <c r="K19" s="286">
        <f>Calculations!K18</f>
        <v>1514.0345699780953</v>
      </c>
      <c r="L19" s="286">
        <f>Calculations!L18</f>
        <v>13423.809006068321</v>
      </c>
      <c r="M19" s="287">
        <f t="shared" si="3"/>
        <v>0</v>
      </c>
      <c r="N19" s="287">
        <f t="shared" si="4"/>
        <v>0</v>
      </c>
      <c r="O19" s="287">
        <f t="shared" si="5"/>
        <v>0</v>
      </c>
      <c r="P19" s="288">
        <f>M19*Introduction!$L$30</f>
        <v>0</v>
      </c>
      <c r="Q19" s="288">
        <f>N19*Introduction!$L$30</f>
        <v>0</v>
      </c>
      <c r="R19" s="288">
        <f>O19*Introduction!$L$30</f>
        <v>0</v>
      </c>
    </row>
    <row r="20" spans="2:18">
      <c r="B20" s="281">
        <f>Calculations!A19</f>
        <v>30</v>
      </c>
      <c r="C20" s="246"/>
      <c r="D20" s="246"/>
      <c r="E20" s="246">
        <v>0</v>
      </c>
      <c r="F20" s="135">
        <f>Calculations!B19</f>
        <v>3000</v>
      </c>
      <c r="G20" s="283">
        <f>Calculations!C19</f>
        <v>90.8</v>
      </c>
      <c r="H20" s="284">
        <f>Calculations!D19</f>
        <v>93.6</v>
      </c>
      <c r="I20" s="285">
        <f>Calculations!E19</f>
        <v>0.6</v>
      </c>
      <c r="J20" s="286">
        <f>Calculations!J19</f>
        <v>16651.982378854624</v>
      </c>
      <c r="K20" s="286">
        <f>Calculations!K19</f>
        <v>1779.057946458835</v>
      </c>
      <c r="L20" s="286">
        <f>Calculations!L19</f>
        <v>17932.90410030499</v>
      </c>
      <c r="M20" s="287">
        <f t="shared" si="3"/>
        <v>0</v>
      </c>
      <c r="N20" s="287">
        <f t="shared" si="4"/>
        <v>0</v>
      </c>
      <c r="O20" s="287">
        <f t="shared" si="5"/>
        <v>0</v>
      </c>
      <c r="P20" s="288">
        <f>M20*Introduction!$L$30</f>
        <v>0</v>
      </c>
      <c r="Q20" s="288">
        <f>N20*Introduction!$L$30</f>
        <v>0</v>
      </c>
      <c r="R20" s="288">
        <f>O20*Introduction!$L$30</f>
        <v>0</v>
      </c>
    </row>
    <row r="21" spans="2:18">
      <c r="B21" s="281">
        <f>Calculations!A20</f>
        <v>37</v>
      </c>
      <c r="C21" s="246"/>
      <c r="D21" s="246"/>
      <c r="E21" s="246">
        <v>0</v>
      </c>
      <c r="F21" s="135">
        <f>Calculations!B20</f>
        <v>3000</v>
      </c>
      <c r="G21" s="283">
        <f>Calculations!C20</f>
        <v>91.3</v>
      </c>
      <c r="H21" s="284">
        <f>Calculations!D20</f>
        <v>94</v>
      </c>
      <c r="I21" s="285">
        <f>Calculations!E20</f>
        <v>0.6</v>
      </c>
      <c r="J21" s="286">
        <f>Calculations!J20</f>
        <v>20424.972617743704</v>
      </c>
      <c r="K21" s="286">
        <f>Calculations!K20</f>
        <v>2095.2669478688499</v>
      </c>
      <c r="L21" s="286">
        <f>Calculations!L20</f>
        <v>21933.564820209278</v>
      </c>
      <c r="M21" s="287">
        <f t="shared" si="3"/>
        <v>0</v>
      </c>
      <c r="N21" s="287">
        <f t="shared" si="4"/>
        <v>0</v>
      </c>
      <c r="O21" s="287">
        <f t="shared" si="5"/>
        <v>0</v>
      </c>
      <c r="P21" s="288">
        <f>M21*Introduction!$L$30</f>
        <v>0</v>
      </c>
      <c r="Q21" s="288">
        <f>N21*Introduction!$L$30</f>
        <v>0</v>
      </c>
      <c r="R21" s="288">
        <f>O21*Introduction!$L$30</f>
        <v>0</v>
      </c>
    </row>
    <row r="22" spans="2:18">
      <c r="B22" s="281">
        <f>Calculations!A21</f>
        <v>45</v>
      </c>
      <c r="C22" s="246"/>
      <c r="D22" s="246"/>
      <c r="E22" s="246">
        <v>1</v>
      </c>
      <c r="F22" s="135">
        <f>Calculations!B21</f>
        <v>3000</v>
      </c>
      <c r="G22" s="283">
        <f>Calculations!C21</f>
        <v>91.7</v>
      </c>
      <c r="H22" s="284">
        <f>Calculations!D21</f>
        <v>94.3</v>
      </c>
      <c r="I22" s="285">
        <f>Calculations!E21</f>
        <v>0.6</v>
      </c>
      <c r="J22" s="286">
        <f>Calculations!J21</f>
        <v>24732.824427480915</v>
      </c>
      <c r="K22" s="286">
        <f>Calculations!K21</f>
        <v>2435.439460363968</v>
      </c>
      <c r="L22" s="286">
        <f>Calculations!L21</f>
        <v>26486.340838942975</v>
      </c>
      <c r="M22" s="287">
        <f t="shared" si="3"/>
        <v>0</v>
      </c>
      <c r="N22" s="287">
        <f t="shared" si="4"/>
        <v>0</v>
      </c>
      <c r="O22" s="287">
        <f t="shared" si="5"/>
        <v>26486.340838942975</v>
      </c>
      <c r="P22" s="288">
        <f>M22*Introduction!$L$30</f>
        <v>0</v>
      </c>
      <c r="Q22" s="288">
        <f>N22*Introduction!$L$30</f>
        <v>0</v>
      </c>
      <c r="R22" s="288">
        <f>O22*Introduction!$L$30</f>
        <v>66215.852097357434</v>
      </c>
    </row>
    <row r="23" spans="2:18">
      <c r="B23" s="281">
        <f>Calculations!A22</f>
        <v>55</v>
      </c>
      <c r="C23" s="246"/>
      <c r="D23" s="246"/>
      <c r="E23" s="246">
        <v>1</v>
      </c>
      <c r="F23" s="135">
        <f>Calculations!B22</f>
        <v>3000</v>
      </c>
      <c r="G23" s="283">
        <f>Calculations!C22</f>
        <v>92.2</v>
      </c>
      <c r="H23" s="284">
        <f>Calculations!D22</f>
        <v>94.5</v>
      </c>
      <c r="I23" s="285">
        <f>Calculations!E22</f>
        <v>0.6</v>
      </c>
      <c r="J23" s="286">
        <f>Calculations!J22</f>
        <v>30065.075921908898</v>
      </c>
      <c r="K23" s="286">
        <f>Calculations!K22</f>
        <v>2613.3663877698696</v>
      </c>
      <c r="L23" s="286">
        <f>Calculations!L22</f>
        <v>31946.699721103207</v>
      </c>
      <c r="M23" s="287">
        <f t="shared" si="3"/>
        <v>0</v>
      </c>
      <c r="N23" s="287">
        <f t="shared" si="4"/>
        <v>0</v>
      </c>
      <c r="O23" s="287">
        <f t="shared" si="5"/>
        <v>31946.699721103207</v>
      </c>
      <c r="P23" s="288">
        <f>M23*Introduction!$L$30</f>
        <v>0</v>
      </c>
      <c r="Q23" s="288">
        <f>N23*Introduction!$L$30</f>
        <v>0</v>
      </c>
      <c r="R23" s="288">
        <f>O23*Introduction!$L$30</f>
        <v>79866.74930275802</v>
      </c>
    </row>
    <row r="24" spans="2:18">
      <c r="B24" s="281">
        <f>Calculations!A23</f>
        <v>75</v>
      </c>
      <c r="C24" s="246"/>
      <c r="D24" s="246"/>
      <c r="E24" s="246">
        <v>1</v>
      </c>
      <c r="F24" s="135">
        <f>Calculations!B23</f>
        <v>3000</v>
      </c>
      <c r="G24" s="283">
        <f>Calculations!C23</f>
        <v>92.7</v>
      </c>
      <c r="H24" s="284">
        <f>Calculations!D23</f>
        <v>95</v>
      </c>
      <c r="I24" s="285">
        <f>Calculations!E23</f>
        <v>0.6</v>
      </c>
      <c r="J24" s="286">
        <f>Calculations!J23</f>
        <v>40776.699029126212</v>
      </c>
      <c r="K24" s="286">
        <f>Calculations!K23</f>
        <v>3525.8048032703182</v>
      </c>
      <c r="L24" s="286">
        <f>Calculations!L23</f>
        <v>43315.278487480842</v>
      </c>
      <c r="M24" s="287">
        <f t="shared" si="3"/>
        <v>0</v>
      </c>
      <c r="N24" s="287">
        <f t="shared" si="4"/>
        <v>0</v>
      </c>
      <c r="O24" s="287">
        <f t="shared" si="5"/>
        <v>43315.278487480842</v>
      </c>
      <c r="P24" s="288">
        <f>M24*Introduction!$L$30</f>
        <v>0</v>
      </c>
      <c r="Q24" s="288">
        <f>N24*Introduction!$L$30</f>
        <v>0</v>
      </c>
      <c r="R24" s="288">
        <f>O24*Introduction!$L$30</f>
        <v>108288.1962187021</v>
      </c>
    </row>
    <row r="25" spans="2:18">
      <c r="B25" s="281">
        <f>Calculations!A24</f>
        <v>90</v>
      </c>
      <c r="C25" s="246"/>
      <c r="D25" s="246"/>
      <c r="E25" s="246">
        <v>1</v>
      </c>
      <c r="F25" s="135">
        <f>Calculations!B24</f>
        <v>3000</v>
      </c>
      <c r="G25" s="283">
        <f>Calculations!C24</f>
        <v>93</v>
      </c>
      <c r="H25" s="284">
        <f>Calculations!D24</f>
        <v>95.2</v>
      </c>
      <c r="I25" s="285">
        <f>Calculations!E24</f>
        <v>0.6</v>
      </c>
      <c r="J25" s="286">
        <f>Calculations!J24</f>
        <v>48774.193548387106</v>
      </c>
      <c r="K25" s="286">
        <f>Calculations!K24</f>
        <v>4025.4811602059999</v>
      </c>
      <c r="L25" s="286">
        <f>Calculations!L24</f>
        <v>51672.539983735413</v>
      </c>
      <c r="M25" s="287">
        <f t="shared" si="3"/>
        <v>0</v>
      </c>
      <c r="N25" s="287">
        <f t="shared" si="4"/>
        <v>0</v>
      </c>
      <c r="O25" s="287">
        <f t="shared" si="5"/>
        <v>51672.539983735413</v>
      </c>
      <c r="P25" s="288">
        <f>M25*Introduction!$L$30</f>
        <v>0</v>
      </c>
      <c r="Q25" s="288">
        <f>N25*Introduction!$L$30</f>
        <v>0</v>
      </c>
      <c r="R25" s="288">
        <f>O25*Introduction!$L$30</f>
        <v>129181.34995933853</v>
      </c>
    </row>
    <row r="26" spans="2:18">
      <c r="B26" s="281">
        <f>Calculations!A25</f>
        <v>110</v>
      </c>
      <c r="C26" s="246"/>
      <c r="D26" s="246"/>
      <c r="E26" s="246">
        <v>1</v>
      </c>
      <c r="F26" s="135">
        <f>Calculations!B25</f>
        <v>3000</v>
      </c>
      <c r="G26" s="283">
        <f>Calculations!C25</f>
        <v>93.3</v>
      </c>
      <c r="H26" s="284">
        <f>Calculations!D25</f>
        <v>95.4</v>
      </c>
      <c r="I26" s="285">
        <f>Calculations!E25</f>
        <v>0.6</v>
      </c>
      <c r="J26" s="286">
        <f>Calculations!J25</f>
        <v>59421.221864951774</v>
      </c>
      <c r="K26" s="286">
        <f>Calculations!K25</f>
        <v>4671.4797063641681</v>
      </c>
      <c r="L26" s="286">
        <f>Calculations!L25</f>
        <v>62784.687253533986</v>
      </c>
      <c r="M26" s="287">
        <f t="shared" si="3"/>
        <v>0</v>
      </c>
      <c r="N26" s="287">
        <f t="shared" si="4"/>
        <v>0</v>
      </c>
      <c r="O26" s="287">
        <f t="shared" si="5"/>
        <v>62784.687253533986</v>
      </c>
      <c r="P26" s="288">
        <f>M26*Introduction!$L$30</f>
        <v>0</v>
      </c>
      <c r="Q26" s="288">
        <f>N26*Introduction!$L$30</f>
        <v>0</v>
      </c>
      <c r="R26" s="288">
        <f>O26*Introduction!$L$30</f>
        <v>156961.71813383498</v>
      </c>
    </row>
    <row r="27" spans="2:18">
      <c r="B27" s="281">
        <f>Calculations!A26</f>
        <v>132</v>
      </c>
      <c r="C27" s="246"/>
      <c r="D27" s="246"/>
      <c r="E27" s="246">
        <v>1</v>
      </c>
      <c r="F27" s="135">
        <f>Calculations!B26</f>
        <v>3000</v>
      </c>
      <c r="G27" s="283">
        <f>Calculations!C26</f>
        <v>93.6</v>
      </c>
      <c r="H27" s="284">
        <f>Calculations!D26</f>
        <v>95.6</v>
      </c>
      <c r="I27" s="285">
        <f>Calculations!E26</f>
        <v>0.6</v>
      </c>
      <c r="J27" s="286">
        <f>Calculations!J26</f>
        <v>71076.923076923078</v>
      </c>
      <c r="K27" s="286">
        <f>Calculations!K26</f>
        <v>5310.588992597367</v>
      </c>
      <c r="L27" s="286">
        <f>Calculations!L26</f>
        <v>74900.547151593186</v>
      </c>
      <c r="M27" s="287">
        <f t="shared" si="3"/>
        <v>0</v>
      </c>
      <c r="N27" s="287">
        <f t="shared" si="4"/>
        <v>0</v>
      </c>
      <c r="O27" s="287">
        <f t="shared" si="5"/>
        <v>74900.547151593186</v>
      </c>
      <c r="P27" s="288">
        <f>M27*Introduction!$L$30</f>
        <v>0</v>
      </c>
      <c r="Q27" s="288">
        <f>N27*Introduction!$L$30</f>
        <v>0</v>
      </c>
      <c r="R27" s="288">
        <f>O27*Introduction!$L$30</f>
        <v>187251.36787898297</v>
      </c>
    </row>
    <row r="28" spans="2:18">
      <c r="B28" s="281">
        <f>Calculations!A27</f>
        <v>160</v>
      </c>
      <c r="C28" s="246"/>
      <c r="D28" s="246"/>
      <c r="E28" s="246">
        <v>1</v>
      </c>
      <c r="F28" s="135">
        <f>Calculations!B27</f>
        <v>3000</v>
      </c>
      <c r="G28" s="283">
        <f>Calculations!C27</f>
        <v>93.8</v>
      </c>
      <c r="H28" s="284">
        <f>Calculations!D27</f>
        <v>95.8</v>
      </c>
      <c r="I28" s="285">
        <f>Calculations!E27</f>
        <v>0.6</v>
      </c>
      <c r="J28" s="286">
        <f>Calculations!J27</f>
        <v>85970.149253731346</v>
      </c>
      <c r="K28" s="286">
        <f>Calculations!K27</f>
        <v>6409.9425330846243</v>
      </c>
      <c r="L28" s="286">
        <f>Calculations!L27</f>
        <v>90585.307877552274</v>
      </c>
      <c r="M28" s="287">
        <f t="shared" si="3"/>
        <v>0</v>
      </c>
      <c r="N28" s="287">
        <f t="shared" si="4"/>
        <v>0</v>
      </c>
      <c r="O28" s="287">
        <f t="shared" si="5"/>
        <v>90585.307877552274</v>
      </c>
      <c r="P28" s="288">
        <f>M28*Introduction!$L$30</f>
        <v>0</v>
      </c>
      <c r="Q28" s="288">
        <f>N28*Introduction!$L$30</f>
        <v>0</v>
      </c>
      <c r="R28" s="288">
        <f>O28*Introduction!$L$30</f>
        <v>226463.26969388069</v>
      </c>
    </row>
    <row r="29" spans="2:18">
      <c r="B29" s="281">
        <f>Calculations!A28</f>
        <v>200</v>
      </c>
      <c r="C29" s="246"/>
      <c r="D29" s="246"/>
      <c r="E29" s="246">
        <v>1</v>
      </c>
      <c r="F29" s="135">
        <f>Calculations!B28</f>
        <v>3000</v>
      </c>
      <c r="G29" s="283">
        <f>Calculations!C28</f>
        <v>94</v>
      </c>
      <c r="H29" s="284">
        <f>Calculations!D28</f>
        <v>96</v>
      </c>
      <c r="I29" s="285">
        <f>Calculations!E28</f>
        <v>0.6</v>
      </c>
      <c r="J29" s="286">
        <f>Calculations!J28</f>
        <v>107234.0425531915</v>
      </c>
      <c r="K29" s="286">
        <f>Calculations!K28</f>
        <v>7978.7234042552855</v>
      </c>
      <c r="L29" s="286">
        <f>Calculations!L28</f>
        <v>112978.7234042553</v>
      </c>
      <c r="M29" s="287">
        <f t="shared" si="3"/>
        <v>0</v>
      </c>
      <c r="N29" s="287">
        <f t="shared" si="4"/>
        <v>0</v>
      </c>
      <c r="O29" s="287">
        <f t="shared" si="5"/>
        <v>112978.7234042553</v>
      </c>
      <c r="P29" s="288">
        <f>M29*Introduction!$L$30</f>
        <v>0</v>
      </c>
      <c r="Q29" s="288">
        <f>N29*Introduction!$L$30</f>
        <v>0</v>
      </c>
      <c r="R29" s="288">
        <f>O29*Introduction!$L$30</f>
        <v>282446.80851063825</v>
      </c>
    </row>
    <row r="30" spans="2:18">
      <c r="B30" s="281">
        <f>Calculations!A29</f>
        <v>375</v>
      </c>
      <c r="C30" s="246"/>
      <c r="D30" s="246"/>
      <c r="E30" s="246">
        <v>1</v>
      </c>
      <c r="F30" s="135">
        <f>Calculations!B29</f>
        <v>3000</v>
      </c>
      <c r="G30" s="283">
        <f>Calculations!C29</f>
        <v>94</v>
      </c>
      <c r="H30" s="284">
        <f>Calculations!D29</f>
        <v>96</v>
      </c>
      <c r="I30" s="285">
        <f>Calculations!E29</f>
        <v>0.6</v>
      </c>
      <c r="J30" s="286">
        <f>Calculations!J29</f>
        <v>201063.82978723402</v>
      </c>
      <c r="K30" s="286">
        <f>Calculations!K29</f>
        <v>14960.10638297866</v>
      </c>
      <c r="L30" s="286">
        <f>Calculations!L29</f>
        <v>211835.1063829787</v>
      </c>
      <c r="M30" s="287">
        <f t="shared" si="3"/>
        <v>0</v>
      </c>
      <c r="N30" s="287">
        <f t="shared" si="4"/>
        <v>0</v>
      </c>
      <c r="O30" s="287">
        <f t="shared" si="5"/>
        <v>211835.1063829787</v>
      </c>
      <c r="P30" s="288">
        <f>M30*Introduction!$L$30</f>
        <v>0</v>
      </c>
      <c r="Q30" s="288">
        <f>N30*Introduction!$L$30</f>
        <v>0</v>
      </c>
      <c r="R30" s="288">
        <f>O30*Introduction!$L$30</f>
        <v>529587.76595744677</v>
      </c>
    </row>
    <row r="31" spans="2:18">
      <c r="B31" s="281">
        <f>Calculations!A30</f>
        <v>400</v>
      </c>
      <c r="C31" s="246"/>
      <c r="D31" s="246"/>
      <c r="E31" s="246">
        <v>1</v>
      </c>
      <c r="F31" s="135">
        <f>Calculations!B30</f>
        <v>3000</v>
      </c>
      <c r="G31" s="283">
        <f>Calculations!C30</f>
        <v>94</v>
      </c>
      <c r="H31" s="284">
        <f>Calculations!D30</f>
        <v>96</v>
      </c>
      <c r="I31" s="285">
        <f>Calculations!E30</f>
        <v>0.6</v>
      </c>
      <c r="J31" s="286">
        <f>Calculations!J30</f>
        <v>214468.08510638299</v>
      </c>
      <c r="K31" s="286">
        <f>Calculations!K30</f>
        <v>15957.446808510571</v>
      </c>
      <c r="L31" s="286">
        <f>Calculations!L30</f>
        <v>225957.44680851061</v>
      </c>
      <c r="M31" s="287">
        <f t="shared" si="3"/>
        <v>0</v>
      </c>
      <c r="N31" s="287">
        <f t="shared" si="4"/>
        <v>0</v>
      </c>
      <c r="O31" s="287">
        <f t="shared" si="5"/>
        <v>225957.44680851061</v>
      </c>
      <c r="P31" s="288">
        <f>M31*Introduction!$L$30</f>
        <v>0</v>
      </c>
      <c r="Q31" s="288">
        <f>N31*Introduction!$L$30</f>
        <v>0</v>
      </c>
      <c r="R31" s="288">
        <f>O31*Introduction!$L$30</f>
        <v>564893.6170212765</v>
      </c>
    </row>
    <row r="32" spans="2:18">
      <c r="B32" s="289"/>
      <c r="C32" s="282">
        <f>SUM(C8:C31)</f>
        <v>0</v>
      </c>
      <c r="D32" s="282">
        <f t="shared" ref="D32:E32" si="6">SUM(D8:D31)</f>
        <v>0</v>
      </c>
      <c r="E32" s="282">
        <f t="shared" si="6"/>
        <v>24</v>
      </c>
      <c r="F32" s="290"/>
      <c r="G32" s="290"/>
      <c r="H32" s="290"/>
      <c r="I32" s="290"/>
      <c r="J32" s="290"/>
      <c r="K32" s="290"/>
      <c r="L32" s="290"/>
      <c r="M32" s="287">
        <f>SUM(M8:M31)</f>
        <v>0</v>
      </c>
      <c r="N32" s="287">
        <f>SUM(N8:N31)</f>
        <v>0</v>
      </c>
      <c r="O32" s="287">
        <f>SUM(O8:O31)</f>
        <v>956092.06915921357</v>
      </c>
      <c r="P32" s="288">
        <f>M32*Introduction!$L$30</f>
        <v>0</v>
      </c>
      <c r="Q32" s="288">
        <f>N32*Introduction!$L$30</f>
        <v>0</v>
      </c>
      <c r="R32" s="288">
        <f>O32*Introduction!$L$30</f>
        <v>2390230.1728980341</v>
      </c>
    </row>
    <row r="35" spans="6:6">
      <c r="F35" s="128" t="s">
        <v>136</v>
      </c>
    </row>
  </sheetData>
  <sheetProtection password="9E49" sheet="1" objects="1" scenarios="1"/>
  <mergeCells count="27">
    <mergeCell ref="C7:E7"/>
    <mergeCell ref="M4:O4"/>
    <mergeCell ref="P4:R4"/>
    <mergeCell ref="E1:F1"/>
    <mergeCell ref="G1:H1"/>
    <mergeCell ref="E2:F2"/>
    <mergeCell ref="G2:H2"/>
    <mergeCell ref="E3:F3"/>
    <mergeCell ref="G3:H3"/>
    <mergeCell ref="B1:D3"/>
    <mergeCell ref="I2:N2"/>
    <mergeCell ref="J4:L4"/>
    <mergeCell ref="J5:L5"/>
    <mergeCell ref="C5:E5"/>
    <mergeCell ref="G7:I7"/>
    <mergeCell ref="M7:O7"/>
    <mergeCell ref="P7:R7"/>
    <mergeCell ref="G5:I5"/>
    <mergeCell ref="O1:R3"/>
    <mergeCell ref="M5:O5"/>
    <mergeCell ref="P5:R5"/>
    <mergeCell ref="M1:N1"/>
    <mergeCell ref="M3:N3"/>
    <mergeCell ref="I1:L1"/>
    <mergeCell ref="I3:L3"/>
    <mergeCell ref="G4:I4"/>
    <mergeCell ref="P6:R6"/>
  </mergeCells>
  <dataValidations count="3">
    <dataValidation type="list" allowBlank="1" showInputMessage="1" showErrorMessage="1" promptTitle="Technologies" sqref="E4">
      <formula1>Technologies</formula1>
    </dataValidation>
    <dataValidation type="list" allowBlank="1" showInputMessage="1" showErrorMessage="1" promptTitle="Efficiency" sqref="C4">
      <formula1>Dropdowns!H3:H4</formula1>
    </dataValidation>
    <dataValidation type="list" allowBlank="1" showInputMessage="1" showErrorMessage="1" promptTitle="New Motor Efficiency" prompt="New Motor Efficiency" sqref="D4">
      <formula1>Dropdowns!E3:E4</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sheetPr codeName="Sheet6">
    <tabColor rgb="FF00B050"/>
  </sheetPr>
  <dimension ref="B2:N33"/>
  <sheetViews>
    <sheetView topLeftCell="A6" workbookViewId="0">
      <selection activeCell="F30" sqref="F30"/>
    </sheetView>
  </sheetViews>
  <sheetFormatPr defaultRowHeight="15"/>
  <cols>
    <col min="1" max="1" width="3.5703125" customWidth="1"/>
    <col min="3" max="3" width="13" customWidth="1"/>
  </cols>
  <sheetData>
    <row r="2" spans="2:14" ht="25.5" customHeight="1">
      <c r="B2" s="143" t="s">
        <v>113</v>
      </c>
      <c r="C2" s="144"/>
      <c r="D2" s="145"/>
      <c r="E2" s="152" t="s">
        <v>108</v>
      </c>
      <c r="F2" s="153"/>
      <c r="G2" s="154"/>
      <c r="H2" s="170" t="str">
        <f>Introduction!D28</f>
        <v>SEAI Sligo</v>
      </c>
      <c r="I2" s="170"/>
      <c r="J2" s="152" t="s">
        <v>116</v>
      </c>
      <c r="K2" s="154"/>
      <c r="L2" s="118">
        <f>C8</f>
        <v>0.1772</v>
      </c>
      <c r="M2" s="165"/>
      <c r="N2" s="157"/>
    </row>
    <row r="3" spans="2:14" ht="15.75" customHeight="1">
      <c r="B3" s="162"/>
      <c r="C3" s="163"/>
      <c r="D3" s="164"/>
      <c r="E3" s="152" t="s">
        <v>117</v>
      </c>
      <c r="F3" s="153"/>
      <c r="G3" s="154"/>
      <c r="H3" s="170" t="str">
        <f>Introduction!H28</f>
        <v>Office 1</v>
      </c>
      <c r="I3" s="170"/>
      <c r="J3" s="143"/>
      <c r="K3" s="145"/>
      <c r="L3" s="171"/>
      <c r="M3" s="166"/>
      <c r="N3" s="167"/>
    </row>
    <row r="4" spans="2:14" ht="12" customHeight="1">
      <c r="B4" s="146"/>
      <c r="C4" s="147"/>
      <c r="D4" s="148"/>
      <c r="E4" s="152" t="s">
        <v>118</v>
      </c>
      <c r="F4" s="153"/>
      <c r="G4" s="154"/>
      <c r="H4" s="172">
        <f>Introduction!L28</f>
        <v>999</v>
      </c>
      <c r="I4" s="173"/>
      <c r="J4" s="146"/>
      <c r="K4" s="148"/>
      <c r="L4" s="171"/>
      <c r="M4" s="168"/>
      <c r="N4" s="169"/>
    </row>
    <row r="5" spans="2:14">
      <c r="B5" s="124" t="s">
        <v>121</v>
      </c>
      <c r="C5" s="126" t="str">
        <f>'Energy Savings Calculator'!C4</f>
        <v>Tertiary</v>
      </c>
      <c r="D5" s="158" t="s">
        <v>122</v>
      </c>
      <c r="E5" s="159"/>
      <c r="F5" s="125" t="str">
        <f>'Energy Savings Calculator'!E4</f>
        <v>Pumps</v>
      </c>
      <c r="G5" s="158" t="s">
        <v>123</v>
      </c>
      <c r="H5" s="160"/>
      <c r="I5" s="161" t="str">
        <f>'Energy Savings Calculator'!D4</f>
        <v>Premium Efficiency (IE3)</v>
      </c>
      <c r="J5" s="161"/>
      <c r="K5" s="161"/>
      <c r="L5" s="155"/>
      <c r="M5" s="155"/>
      <c r="N5" s="155"/>
    </row>
    <row r="6" spans="2:14" ht="15.75" customHeight="1">
      <c r="B6" s="123"/>
      <c r="C6" s="122"/>
      <c r="D6" s="174" t="s">
        <v>115</v>
      </c>
      <c r="E6" s="175"/>
      <c r="F6" s="176"/>
      <c r="G6" s="177" t="str">
        <f>Calculations!J4</f>
        <v>Electricity Savings (kWh)</v>
      </c>
      <c r="H6" s="177"/>
      <c r="I6" s="177"/>
      <c r="J6" s="177" t="str">
        <f>Calculations!M4</f>
        <v>% Energy Savings</v>
      </c>
      <c r="K6" s="177"/>
      <c r="L6" s="177" t="str">
        <f>Calculations!O4</f>
        <v>Simple Payback (Years)</v>
      </c>
      <c r="M6" s="177"/>
      <c r="N6" s="177"/>
    </row>
    <row r="7" spans="2:14" ht="45">
      <c r="B7" s="107" t="s">
        <v>0</v>
      </c>
      <c r="C7" s="107" t="str">
        <f>Calculations!F5</f>
        <v>Electricity Cost €/kWh</v>
      </c>
      <c r="D7" s="107" t="str">
        <f>Calculations!G5</f>
        <v>VSD</v>
      </c>
      <c r="E7" s="107" t="str">
        <f>Calculations!H5</f>
        <v>EE Motor</v>
      </c>
      <c r="F7" s="107" t="str">
        <f>Calculations!I5</f>
        <v xml:space="preserve">VSD and EE Motor </v>
      </c>
      <c r="G7" s="107" t="str">
        <f>Calculations!J5</f>
        <v>VSD (Existing Motor)</v>
      </c>
      <c r="H7" s="107" t="str">
        <f>Calculations!K5</f>
        <v>EE Motor</v>
      </c>
      <c r="I7" s="107" t="str">
        <f>Calculations!L5</f>
        <v xml:space="preserve">VSD and EE Motor </v>
      </c>
      <c r="J7" s="107" t="str">
        <f>Calculations!M5</f>
        <v>EE Motor</v>
      </c>
      <c r="K7" s="107" t="str">
        <f>Calculations!N5</f>
        <v xml:space="preserve">VSD and EE Motor </v>
      </c>
      <c r="L7" s="107" t="str">
        <f>Calculations!O5</f>
        <v>VSD</v>
      </c>
      <c r="M7" s="107" t="str">
        <f>Calculations!P5</f>
        <v>EE Motor</v>
      </c>
      <c r="N7" s="107" t="str">
        <f>Calculations!Q5</f>
        <v xml:space="preserve">VSD and EE Motor </v>
      </c>
    </row>
    <row r="8" spans="2:14" ht="15.75" thickBot="1">
      <c r="B8" s="117"/>
      <c r="C8" s="120">
        <f>Introduction!H30</f>
        <v>0.1772</v>
      </c>
      <c r="D8" s="149" t="s">
        <v>128</v>
      </c>
      <c r="E8" s="150"/>
      <c r="F8" s="151"/>
      <c r="G8" s="121">
        <f>Calculations!J6</f>
        <v>0.28000000000000003</v>
      </c>
      <c r="H8" s="149"/>
      <c r="I8" s="150"/>
      <c r="J8" s="150"/>
      <c r="K8" s="150"/>
      <c r="L8" s="298"/>
      <c r="M8" s="298"/>
      <c r="N8" s="299"/>
    </row>
    <row r="9" spans="2:14" ht="15.75" thickBot="1">
      <c r="B9" s="7">
        <v>0.75</v>
      </c>
      <c r="C9" s="4">
        <f>Calculations!F7</f>
        <v>0.1772</v>
      </c>
      <c r="D9" s="306">
        <v>240</v>
      </c>
      <c r="E9" s="306">
        <v>331</v>
      </c>
      <c r="F9" s="306">
        <v>571</v>
      </c>
      <c r="G9" s="114">
        <f>Calculations!J7</f>
        <v>608.73786407767</v>
      </c>
      <c r="H9" s="115">
        <f>Calculations!K7</f>
        <v>307.99237170596405</v>
      </c>
      <c r="I9" s="114">
        <f>Calculations!L7</f>
        <v>830.49237170596416</v>
      </c>
      <c r="J9" s="127">
        <f>Calculations!M7</f>
        <v>27.251922542982705</v>
      </c>
      <c r="K9" s="297">
        <f>Calculations!N7</f>
        <v>73.484007610019233</v>
      </c>
      <c r="L9" s="300">
        <f>IF('Energy Savings Calculator'!C8=0,0,Calculations!O7)</f>
        <v>0</v>
      </c>
      <c r="M9" s="300">
        <f>IF('Energy Savings Calculator'!D8=0,0,Calculations!P7)</f>
        <v>0</v>
      </c>
      <c r="N9" s="300">
        <f>IF('Energy Savings Calculator'!E8=0,0,Calculations!Q7)</f>
        <v>3.5150445616559503</v>
      </c>
    </row>
    <row r="10" spans="2:14" ht="15.75" thickBot="1">
      <c r="B10" s="7">
        <v>1.1000000000000001</v>
      </c>
      <c r="C10" s="4">
        <f>Calculations!F8</f>
        <v>0.1772</v>
      </c>
      <c r="D10" s="306">
        <v>271</v>
      </c>
      <c r="E10" s="306">
        <v>465</v>
      </c>
      <c r="F10" s="306">
        <v>736</v>
      </c>
      <c r="G10" s="114">
        <f>Calculations!J8</f>
        <v>857.15046604527333</v>
      </c>
      <c r="H10" s="115">
        <f>Calculations!K8</f>
        <v>366.0582295118819</v>
      </c>
      <c r="I10" s="114">
        <f>Calculations!L8</f>
        <v>1120.7123912938282</v>
      </c>
      <c r="J10" s="127">
        <f>Calculations!M8</f>
        <v>21.201728390673068</v>
      </c>
      <c r="K10" s="297">
        <f>Calculations!N8</f>
        <v>64.910546488621421</v>
      </c>
      <c r="L10" s="300">
        <f>IF('Energy Savings Calculator'!C9=0,0,Calculations!O8)</f>
        <v>0</v>
      </c>
      <c r="M10" s="300">
        <f>IF('Energy Savings Calculator'!D9=0,0,Calculations!P8)</f>
        <v>0</v>
      </c>
      <c r="N10" s="300">
        <f>IF('Energy Savings Calculator'!E9=0,0,Calculations!Q8)</f>
        <v>0</v>
      </c>
    </row>
    <row r="11" spans="2:14" ht="15.75" thickBot="1">
      <c r="B11" s="7">
        <v>1.5</v>
      </c>
      <c r="C11" s="4">
        <f>Calculations!F9</f>
        <v>0.1772</v>
      </c>
      <c r="D11" s="306">
        <v>325</v>
      </c>
      <c r="E11" s="306">
        <v>489</v>
      </c>
      <c r="F11" s="306">
        <v>814</v>
      </c>
      <c r="G11" s="114">
        <f>Calculations!J9</f>
        <v>1137.0466321243528</v>
      </c>
      <c r="H11" s="115">
        <f>Calculations!K9</f>
        <v>428.20411986143029</v>
      </c>
      <c r="I11" s="114">
        <f>Calculations!L9</f>
        <v>1445.3535984245823</v>
      </c>
      <c r="J11" s="127">
        <f>Calculations!M9</f>
        <v>17.692776683996918</v>
      </c>
      <c r="K11" s="297">
        <f>Calculations!N9</f>
        <v>59.719926222598851</v>
      </c>
      <c r="L11" s="300">
        <f>IF('Energy Savings Calculator'!C10=0,0,Calculations!O9)</f>
        <v>0</v>
      </c>
      <c r="M11" s="300">
        <f>IF('Energy Savings Calculator'!D10=0,0,Calculations!P9)</f>
        <v>0</v>
      </c>
      <c r="N11" s="300">
        <f>IF('Energy Savings Calculator'!E10=0,0,Calculations!Q9)</f>
        <v>0</v>
      </c>
    </row>
    <row r="12" spans="2:14" ht="15.75" thickBot="1">
      <c r="B12" s="7">
        <v>2.2000000000000002</v>
      </c>
      <c r="C12" s="4">
        <f>Calculations!F10</f>
        <v>0.1772</v>
      </c>
      <c r="D12" s="306">
        <v>377.5</v>
      </c>
      <c r="E12" s="306">
        <v>559</v>
      </c>
      <c r="F12" s="306">
        <v>936.5</v>
      </c>
      <c r="G12" s="114">
        <f>Calculations!J10</f>
        <v>1615.3575909661236</v>
      </c>
      <c r="H12" s="115">
        <f>Calculations!K10</f>
        <v>514.27711059329613</v>
      </c>
      <c r="I12" s="114">
        <f>Calculations!L10</f>
        <v>1985.6371105932965</v>
      </c>
      <c r="J12" s="127">
        <f>Calculations!M10</f>
        <v>14.033626277785283</v>
      </c>
      <c r="K12" s="297">
        <f>Calculations!N10</f>
        <v>54.184190895100215</v>
      </c>
      <c r="L12" s="300">
        <f>IF('Energy Savings Calculator'!C11=0,0,Calculations!O10)</f>
        <v>0</v>
      </c>
      <c r="M12" s="300">
        <f>IF('Energy Savings Calculator'!D11=0,0,Calculations!P10)</f>
        <v>0</v>
      </c>
      <c r="N12" s="300">
        <f>IF('Energy Savings Calculator'!E11=0,0,Calculations!Q10)</f>
        <v>0</v>
      </c>
    </row>
    <row r="13" spans="2:14" ht="15.75" thickBot="1">
      <c r="B13" s="7">
        <v>3</v>
      </c>
      <c r="C13" s="4">
        <f>Calculations!F11</f>
        <v>0.1772</v>
      </c>
      <c r="D13" s="306">
        <v>640.5</v>
      </c>
      <c r="E13" s="306">
        <v>626</v>
      </c>
      <c r="F13" s="306">
        <v>1266.5</v>
      </c>
      <c r="G13" s="114">
        <f>Calculations!J11</f>
        <v>2154.1104294478532</v>
      </c>
      <c r="H13" s="115">
        <f>Calculations!K11</f>
        <v>600.49135274685648</v>
      </c>
      <c r="I13" s="114">
        <f>Calculations!L11</f>
        <v>2586.4642034255899</v>
      </c>
      <c r="J13" s="127">
        <f>Calculations!M11</f>
        <v>11.751183505970713</v>
      </c>
      <c r="K13" s="297">
        <f>Calculations!N11</f>
        <v>50.615242579340517</v>
      </c>
      <c r="L13" s="300">
        <f>IF('Energy Savings Calculator'!C12=0,0,Calculations!O11)</f>
        <v>0</v>
      </c>
      <c r="M13" s="300">
        <f>IF('Energy Savings Calculator'!D12=0,0,Calculations!P11)</f>
        <v>0</v>
      </c>
      <c r="N13" s="300">
        <f>IF('Energy Savings Calculator'!E12=0,0,Calculations!Q11)</f>
        <v>0</v>
      </c>
    </row>
    <row r="14" spans="2:14" ht="15.75" thickBot="1">
      <c r="B14" s="7">
        <v>4</v>
      </c>
      <c r="C14" s="4">
        <f>Calculations!F12</f>
        <v>0.1772</v>
      </c>
      <c r="D14" s="306">
        <v>672</v>
      </c>
      <c r="E14" s="306">
        <v>740</v>
      </c>
      <c r="F14" s="306">
        <v>1412</v>
      </c>
      <c r="G14" s="114">
        <f>Calculations!J12</f>
        <v>2466.4259927797839</v>
      </c>
      <c r="H14" s="115">
        <f>Calculations!K12</f>
        <v>602.38623302196947</v>
      </c>
      <c r="I14" s="114">
        <f>Calculations!L12</f>
        <v>2900.1440805556017</v>
      </c>
      <c r="J14" s="127">
        <f>Calculations!M12</f>
        <v>9.9029123023477137</v>
      </c>
      <c r="K14" s="297">
        <f>Calculations!N12</f>
        <v>47.676840736942161</v>
      </c>
      <c r="L14" s="300">
        <f>IF('Energy Savings Calculator'!C13=0,0,Calculations!O12)</f>
        <v>0</v>
      </c>
      <c r="M14" s="300">
        <f>IF('Energy Savings Calculator'!D13=0,0,Calculations!P12)</f>
        <v>0</v>
      </c>
      <c r="N14" s="300">
        <f>IF('Energy Savings Calculator'!E13=0,0,Calculations!Q12)</f>
        <v>0</v>
      </c>
    </row>
    <row r="15" spans="2:14" ht="15.75" thickBot="1">
      <c r="B15" s="7">
        <v>5.5</v>
      </c>
      <c r="C15" s="4">
        <f>Calculations!F13</f>
        <v>0.1772</v>
      </c>
      <c r="D15" s="306">
        <v>713</v>
      </c>
      <c r="E15" s="306">
        <v>910</v>
      </c>
      <c r="F15" s="306">
        <v>1623</v>
      </c>
      <c r="G15" s="114">
        <f>Calculations!J13</f>
        <v>3327.2727272727275</v>
      </c>
      <c r="H15" s="115">
        <f>Calculations!K13</f>
        <v>699.78354978354889</v>
      </c>
      <c r="I15" s="114">
        <f>Calculations!L13</f>
        <v>3831.1168831168825</v>
      </c>
      <c r="J15" s="127">
        <f>Calculations!M13</f>
        <v>8.2085517311448317</v>
      </c>
      <c r="K15" s="297">
        <f>Calculations!N13</f>
        <v>44.939497552999754</v>
      </c>
      <c r="L15" s="300">
        <f>IF('Energy Savings Calculator'!C14=0,0,Calculations!O13)</f>
        <v>0</v>
      </c>
      <c r="M15" s="300">
        <f>IF('Energy Savings Calculator'!D14=0,0,Calculations!P13)</f>
        <v>0</v>
      </c>
      <c r="N15" s="300">
        <f>IF('Energy Savings Calculator'!E14=0,0,Calculations!Q13)</f>
        <v>2.2744013448167713</v>
      </c>
    </row>
    <row r="16" spans="2:14" ht="15.75" thickBot="1">
      <c r="B16" s="7">
        <v>7.5</v>
      </c>
      <c r="C16" s="4">
        <f>Calculations!F14</f>
        <v>0.1772</v>
      </c>
      <c r="D16" s="306">
        <v>876.5</v>
      </c>
      <c r="E16" s="306">
        <v>1015</v>
      </c>
      <c r="F16" s="306">
        <v>1891.5</v>
      </c>
      <c r="G16" s="114">
        <f>Calculations!J14</f>
        <v>4463.414634146342</v>
      </c>
      <c r="H16" s="115">
        <f>Calculations!K14</f>
        <v>825.12778400282275</v>
      </c>
      <c r="I16" s="114">
        <f>Calculations!L14</f>
        <v>5057.5066386283734</v>
      </c>
      <c r="J16" s="127">
        <f>Calculations!M14</f>
        <v>6.9824157871481898</v>
      </c>
      <c r="K16" s="297">
        <f>Calculations!N14</f>
        <v>42.797751914077743</v>
      </c>
      <c r="L16" s="300">
        <f>IF('Energy Savings Calculator'!C15=0,0,Calculations!O14)</f>
        <v>0</v>
      </c>
      <c r="M16" s="300">
        <f>IF('Energy Savings Calculator'!D15=0,0,Calculations!P14)</f>
        <v>0</v>
      </c>
      <c r="N16" s="300">
        <f>IF('Energy Savings Calculator'!E15=0,0,Calculations!Q14)</f>
        <v>0</v>
      </c>
    </row>
    <row r="17" spans="2:14" ht="15.75" thickBot="1">
      <c r="B17" s="7">
        <v>11</v>
      </c>
      <c r="C17" s="4">
        <f>Calculations!F15</f>
        <v>0.1772</v>
      </c>
      <c r="D17" s="306">
        <v>1039</v>
      </c>
      <c r="E17" s="306">
        <v>1144.5</v>
      </c>
      <c r="F17" s="306">
        <v>2183.5</v>
      </c>
      <c r="G17" s="114">
        <f>Calculations!J15</f>
        <v>6328.7671232876719</v>
      </c>
      <c r="H17" s="115">
        <f>Calculations!K15</f>
        <v>1010.5914163218376</v>
      </c>
      <c r="I17" s="114">
        <f>Calculations!L15</f>
        <v>7056.3929430393955</v>
      </c>
      <c r="J17" s="127">
        <f>Calculations!M15</f>
        <v>5.8264806531170024</v>
      </c>
      <c r="K17" s="297">
        <f>Calculations!N15</f>
        <v>40.683045887178849</v>
      </c>
      <c r="L17" s="300">
        <f>IF('Energy Savings Calculator'!C16=0,0,Calculations!O15)</f>
        <v>0</v>
      </c>
      <c r="M17" s="300">
        <f>IF('Energy Savings Calculator'!D16=0,0,Calculations!P15)</f>
        <v>0</v>
      </c>
      <c r="N17" s="300">
        <f>IF('Energy Savings Calculator'!E16=0,0,Calculations!Q15)</f>
        <v>0</v>
      </c>
    </row>
    <row r="18" spans="2:14" ht="15.75" thickBot="1">
      <c r="B18" s="7">
        <v>15</v>
      </c>
      <c r="C18" s="4">
        <f>Calculations!F16</f>
        <v>0.1772</v>
      </c>
      <c r="D18" s="306">
        <v>1284.5</v>
      </c>
      <c r="E18" s="306">
        <v>1355</v>
      </c>
      <c r="F18" s="306">
        <v>2639.5</v>
      </c>
      <c r="G18" s="114">
        <f>Calculations!J16</f>
        <v>8523.1116121758751</v>
      </c>
      <c r="H18" s="115">
        <f>Calculations!K16</f>
        <v>1187.2466260576186</v>
      </c>
      <c r="I18" s="114">
        <f>Calculations!L16</f>
        <v>9377.9291829373597</v>
      </c>
      <c r="J18" s="127">
        <f>Calculations!M16</f>
        <v>4.9573954071469313</v>
      </c>
      <c r="K18" s="297">
        <f>Calculations!N16</f>
        <v>39.157915499341769</v>
      </c>
      <c r="L18" s="300">
        <f>IF('Energy Savings Calculator'!C17=0,0,Calculations!O16)</f>
        <v>0</v>
      </c>
      <c r="M18" s="300">
        <f>IF('Energy Savings Calculator'!D17=0,0,Calculations!P16)</f>
        <v>0</v>
      </c>
      <c r="N18" s="300">
        <f>IF('Energy Savings Calculator'!E17=0,0,Calculations!Q16)</f>
        <v>0</v>
      </c>
    </row>
    <row r="19" spans="2:14" ht="15.75" thickBot="1">
      <c r="B19" s="7">
        <v>18.5</v>
      </c>
      <c r="C19" s="4">
        <f>Calculations!F17</f>
        <v>0.1772</v>
      </c>
      <c r="D19" s="306">
        <v>1546.5</v>
      </c>
      <c r="E19" s="306">
        <v>1649.5</v>
      </c>
      <c r="F19" s="306">
        <v>3196</v>
      </c>
      <c r="G19" s="114">
        <f>Calculations!J17</f>
        <v>10429.530201342281</v>
      </c>
      <c r="H19" s="115">
        <f>Calculations!K17</f>
        <v>1325.9920505636289</v>
      </c>
      <c r="I19" s="114">
        <f>Calculations!L17</f>
        <v>11384.244477748098</v>
      </c>
      <c r="J19" s="127">
        <f>Calculations!M17</f>
        <v>4.4540918454146396</v>
      </c>
      <c r="K19" s="297">
        <f>Calculations!N17</f>
        <v>38.240403080087134</v>
      </c>
      <c r="L19" s="300">
        <f>IF('Energy Savings Calculator'!C18=0,0,Calculations!O17)</f>
        <v>0</v>
      </c>
      <c r="M19" s="300">
        <f>IF('Energy Savings Calculator'!D18=0,0,Calculations!P17)</f>
        <v>0</v>
      </c>
      <c r="N19" s="300">
        <f>IF('Energy Savings Calculator'!E18=0,0,Calculations!Q17)</f>
        <v>0</v>
      </c>
    </row>
    <row r="20" spans="2:14" ht="15.75" thickBot="1">
      <c r="B20" s="7">
        <v>22</v>
      </c>
      <c r="C20" s="4">
        <f>Calculations!F18</f>
        <v>0.1772</v>
      </c>
      <c r="D20" s="306">
        <v>1959</v>
      </c>
      <c r="E20" s="306">
        <v>1952</v>
      </c>
      <c r="F20" s="306">
        <v>3911</v>
      </c>
      <c r="G20" s="114">
        <f>Calculations!J18</f>
        <v>12333.704115684093</v>
      </c>
      <c r="H20" s="115">
        <f>Calculations!K18</f>
        <v>1514.0345699780953</v>
      </c>
      <c r="I20" s="114">
        <f>Calculations!L18</f>
        <v>13423.809006068321</v>
      </c>
      <c r="J20" s="127">
        <f>Calculations!M18</f>
        <v>4.2528583105192501</v>
      </c>
      <c r="K20" s="297">
        <f>Calculations!N18</f>
        <v>37.706904995641402</v>
      </c>
      <c r="L20" s="300">
        <f>IF('Energy Savings Calculator'!C19=0,0,Calculations!O18)</f>
        <v>0</v>
      </c>
      <c r="M20" s="300">
        <f>IF('Energy Savings Calculator'!D19=0,0,Calculations!P18)</f>
        <v>0</v>
      </c>
      <c r="N20" s="300">
        <f>IF('Energy Savings Calculator'!E19=0,0,Calculations!Q18)</f>
        <v>0</v>
      </c>
    </row>
    <row r="21" spans="2:14" ht="15.75" thickBot="1">
      <c r="B21" s="7">
        <v>30</v>
      </c>
      <c r="C21" s="4">
        <f>Calculations!F19</f>
        <v>0.1772</v>
      </c>
      <c r="D21" s="306">
        <v>2401.4555</v>
      </c>
      <c r="E21" s="306">
        <v>2492</v>
      </c>
      <c r="F21" s="306">
        <v>4893.4555</v>
      </c>
      <c r="G21" s="114">
        <f>Calculations!J19</f>
        <v>16651.982378854624</v>
      </c>
      <c r="H21" s="115">
        <f>Calculations!K19</f>
        <v>1779.057946458835</v>
      </c>
      <c r="I21" s="114">
        <f>Calculations!L19</f>
        <v>17932.90410030499</v>
      </c>
      <c r="J21" s="127">
        <f>Calculations!M19</f>
        <v>3.6283609611250518</v>
      </c>
      <c r="K21" s="297">
        <f>Calculations!N19</f>
        <v>36.57387848814038</v>
      </c>
      <c r="L21" s="300">
        <f>IF('Energy Savings Calculator'!C20=0,0,Calculations!O19)</f>
        <v>0</v>
      </c>
      <c r="M21" s="300">
        <f>IF('Energy Savings Calculator'!D20=0,0,Calculations!P19)</f>
        <v>0</v>
      </c>
      <c r="N21" s="300">
        <f>IF('Energy Savings Calculator'!E20=0,0,Calculations!Q19)</f>
        <v>0</v>
      </c>
    </row>
    <row r="22" spans="2:14" ht="15.75" thickBot="1">
      <c r="B22" s="7">
        <v>37</v>
      </c>
      <c r="C22" s="4">
        <f>Calculations!F20</f>
        <v>0.1772</v>
      </c>
      <c r="D22" s="306">
        <v>3274.5299999999997</v>
      </c>
      <c r="E22" s="306">
        <v>3137.5</v>
      </c>
      <c r="F22" s="306">
        <v>6412.03</v>
      </c>
      <c r="G22" s="114">
        <f>Calculations!J20</f>
        <v>20424.972617743704</v>
      </c>
      <c r="H22" s="115">
        <f>Calculations!K20</f>
        <v>2095.2669478688499</v>
      </c>
      <c r="I22" s="114">
        <f>Calculations!L20</f>
        <v>21933.564820209278</v>
      </c>
      <c r="J22" s="127">
        <f>Calculations!M20</f>
        <v>3.4458340287749696</v>
      </c>
      <c r="K22" s="297">
        <f>Calculations!N20</f>
        <v>36.071501107146489</v>
      </c>
      <c r="L22" s="300">
        <f>IF('Energy Savings Calculator'!C21=0,0,Calculations!O20)</f>
        <v>0</v>
      </c>
      <c r="M22" s="300">
        <f>IF('Energy Savings Calculator'!D21=0,0,Calculations!P20)</f>
        <v>0</v>
      </c>
      <c r="N22" s="300">
        <f>IF('Energy Savings Calculator'!E21=0,0,Calculations!Q20)</f>
        <v>0</v>
      </c>
    </row>
    <row r="23" spans="2:14" ht="15.75" thickBot="1">
      <c r="B23" s="7">
        <v>45</v>
      </c>
      <c r="C23" s="4">
        <f>Calculations!F21</f>
        <v>0.1772</v>
      </c>
      <c r="D23" s="306">
        <v>3776.02</v>
      </c>
      <c r="E23" s="306">
        <v>3860.5</v>
      </c>
      <c r="F23" s="306">
        <v>7636.52</v>
      </c>
      <c r="G23" s="114">
        <f>Calculations!J21</f>
        <v>24732.824427480915</v>
      </c>
      <c r="H23" s="115">
        <f>Calculations!K21</f>
        <v>2435.439460363968</v>
      </c>
      <c r="I23" s="114">
        <f>Calculations!L21</f>
        <v>26486.340838942975</v>
      </c>
      <c r="J23" s="127">
        <f>Calculations!M21</f>
        <v>3.2788608322414312</v>
      </c>
      <c r="K23" s="297">
        <f>Calculations!N21</f>
        <v>35.658872650945753</v>
      </c>
      <c r="L23" s="300">
        <f>IF('Energy Savings Calculator'!C22=0,0,Calculations!O21)</f>
        <v>0</v>
      </c>
      <c r="M23" s="300">
        <f>IF('Energy Savings Calculator'!D22=0,0,Calculations!P21)</f>
        <v>0</v>
      </c>
      <c r="N23" s="300">
        <f>IF('Energy Savings Calculator'!E22=0,0,Calculations!Q21)</f>
        <v>1.5862436225302843</v>
      </c>
    </row>
    <row r="24" spans="2:14" ht="15.75" thickBot="1">
      <c r="B24" s="7">
        <v>55</v>
      </c>
      <c r="C24" s="4">
        <f>Calculations!F22</f>
        <v>0.1772</v>
      </c>
      <c r="D24" s="306">
        <v>4595.0285000000003</v>
      </c>
      <c r="E24" s="306">
        <v>4772</v>
      </c>
      <c r="F24" s="306">
        <v>9367.0285000000003</v>
      </c>
      <c r="G24" s="114">
        <f>Calculations!J22</f>
        <v>30065.075921908898</v>
      </c>
      <c r="H24" s="115">
        <f>Calculations!K22</f>
        <v>2613.3663877698696</v>
      </c>
      <c r="I24" s="114">
        <f>Calculations!L22</f>
        <v>31946.699721103207</v>
      </c>
      <c r="J24" s="127">
        <f>Calculations!M22</f>
        <v>2.8630846291218801</v>
      </c>
      <c r="K24" s="297">
        <f>Calculations!N22</f>
        <v>34.999342361908901</v>
      </c>
      <c r="L24" s="300">
        <f>IF('Energy Savings Calculator'!C23=0,0,Calculations!O22)</f>
        <v>0</v>
      </c>
      <c r="M24" s="300">
        <f>IF('Energy Savings Calculator'!D23=0,0,Calculations!P22)</f>
        <v>0</v>
      </c>
      <c r="N24" s="300">
        <f>IF('Energy Savings Calculator'!E23=0,0,Calculations!Q22)</f>
        <v>1.6176210037544014</v>
      </c>
    </row>
    <row r="25" spans="2:14" ht="15.75" thickBot="1">
      <c r="B25" s="7">
        <v>75</v>
      </c>
      <c r="C25" s="4">
        <f>Calculations!F23</f>
        <v>0.1772</v>
      </c>
      <c r="D25" s="306">
        <v>5367.5285000000003</v>
      </c>
      <c r="E25" s="306">
        <v>6048.5</v>
      </c>
      <c r="F25" s="306">
        <v>11416.0285</v>
      </c>
      <c r="G25" s="114">
        <f>Calculations!J23</f>
        <v>40776.699029126212</v>
      </c>
      <c r="H25" s="115">
        <f>Calculations!K23</f>
        <v>3525.8048032703182</v>
      </c>
      <c r="I25" s="114">
        <f>Calculations!L23</f>
        <v>43315.278487480842</v>
      </c>
      <c r="J25" s="127">
        <f>Calculations!M23</f>
        <v>2.8173756868195441</v>
      </c>
      <c r="K25" s="297">
        <f>Calculations!N23</f>
        <v>34.61207278555343</v>
      </c>
      <c r="L25" s="300">
        <f>IF('Energy Savings Calculator'!C24=0,0,Calculations!O23)</f>
        <v>0</v>
      </c>
      <c r="M25" s="300">
        <f>IF('Energy Savings Calculator'!D24=0,0,Calculations!P23)</f>
        <v>0</v>
      </c>
      <c r="N25" s="300">
        <f>IF('Energy Savings Calculator'!E24=0,0,Calculations!Q23)</f>
        <v>1.4541963657731052</v>
      </c>
    </row>
    <row r="26" spans="2:14" ht="15.75" thickBot="1">
      <c r="B26" s="7">
        <v>90</v>
      </c>
      <c r="C26" s="4">
        <f>Calculations!F24</f>
        <v>0.1772</v>
      </c>
      <c r="D26" s="306">
        <v>6408.9575000000004</v>
      </c>
      <c r="E26" s="306">
        <v>7070.5</v>
      </c>
      <c r="F26" s="306">
        <v>13479.4575</v>
      </c>
      <c r="G26" s="114">
        <f>Calculations!J24</f>
        <v>48774.193548387106</v>
      </c>
      <c r="H26" s="115">
        <f>Calculations!K24</f>
        <v>4025.4811602059999</v>
      </c>
      <c r="I26" s="114">
        <f>Calculations!L24</f>
        <v>51672.539983735413</v>
      </c>
      <c r="J26" s="127">
        <f>Calculations!M24</f>
        <v>2.6718977566746314</v>
      </c>
      <c r="K26" s="297">
        <f>Calculations!N24</f>
        <v>34.297451203859957</v>
      </c>
      <c r="L26" s="300">
        <f>IF('Energy Savings Calculator'!C25=0,0,Calculations!O24)</f>
        <v>0</v>
      </c>
      <c r="M26" s="300">
        <f>IF('Energy Savings Calculator'!D25=0,0,Calculations!P24)</f>
        <v>0</v>
      </c>
      <c r="N26" s="300">
        <f>IF('Energy Savings Calculator'!E25=0,0,Calculations!Q24)</f>
        <v>1.4407129148124116</v>
      </c>
    </row>
    <row r="27" spans="2:14" ht="15.75" thickBot="1">
      <c r="B27" s="7">
        <v>110</v>
      </c>
      <c r="C27" s="4">
        <f>Calculations!F25</f>
        <v>0.1772</v>
      </c>
      <c r="D27" s="306">
        <v>8310.7929999999997</v>
      </c>
      <c r="E27" s="306">
        <v>9057.5</v>
      </c>
      <c r="F27" s="306">
        <v>17368.292999999998</v>
      </c>
      <c r="G27" s="114">
        <f>Calculations!J25</f>
        <v>59421.221864951774</v>
      </c>
      <c r="H27" s="115">
        <f>Calculations!K25</f>
        <v>4671.4797063641681</v>
      </c>
      <c r="I27" s="114">
        <f>Calculations!L25</f>
        <v>62784.687253533986</v>
      </c>
      <c r="J27" s="127">
        <f>Calculations!M25</f>
        <v>2.5287601125749282</v>
      </c>
      <c r="K27" s="297">
        <f>Calculations!N25</f>
        <v>33.986535913006804</v>
      </c>
      <c r="L27" s="300">
        <f>IF('Energy Savings Calculator'!C26=0,0,Calculations!O25)</f>
        <v>0</v>
      </c>
      <c r="M27" s="300">
        <f>IF('Energy Savings Calculator'!D26=0,0,Calculations!P25)</f>
        <v>0</v>
      </c>
      <c r="N27" s="300">
        <f>IF('Energy Savings Calculator'!E26=0,0,Calculations!Q25)</f>
        <v>1.5292723682097955</v>
      </c>
    </row>
    <row r="28" spans="2:14" ht="15.75" thickBot="1">
      <c r="B28" s="7">
        <v>132</v>
      </c>
      <c r="C28" s="4">
        <f>Calculations!F26</f>
        <v>0.1772</v>
      </c>
      <c r="D28" s="306">
        <v>9057.8619999999992</v>
      </c>
      <c r="E28" s="306">
        <v>10982.5</v>
      </c>
      <c r="F28" s="306">
        <v>20040.362000000001</v>
      </c>
      <c r="G28" s="114">
        <f>Calculations!J26</f>
        <v>71076.923076923078</v>
      </c>
      <c r="H28" s="115">
        <f>Calculations!K26</f>
        <v>5310.588992597367</v>
      </c>
      <c r="I28" s="114">
        <f>Calculations!L26</f>
        <v>74900.547151593186</v>
      </c>
      <c r="J28" s="127">
        <f>Calculations!M26</f>
        <v>2.3879234800809765</v>
      </c>
      <c r="K28" s="297">
        <f>Calculations!N26</f>
        <v>33.679272763062059</v>
      </c>
      <c r="L28" s="300">
        <f>IF('Energy Savings Calculator'!C27=0,0,Calculations!O26)</f>
        <v>0</v>
      </c>
      <c r="M28" s="300">
        <f>IF('Energy Savings Calculator'!D27=0,0,Calculations!P26)</f>
        <v>0</v>
      </c>
      <c r="N28" s="300">
        <f>IF('Energy Savings Calculator'!E27=0,0,Calculations!Q26)</f>
        <v>1.4805377294724642</v>
      </c>
    </row>
    <row r="29" spans="2:14" ht="15.75" thickBot="1">
      <c r="B29" s="7">
        <v>160</v>
      </c>
      <c r="C29" s="4">
        <f>Calculations!F27</f>
        <v>0.1772</v>
      </c>
      <c r="D29" s="306">
        <v>9762.1345000000001</v>
      </c>
      <c r="E29" s="306">
        <v>13928</v>
      </c>
      <c r="F29" s="306">
        <v>23690.1345</v>
      </c>
      <c r="G29" s="114">
        <f>Calculations!J27</f>
        <v>85970.149253731346</v>
      </c>
      <c r="H29" s="115">
        <f>Calculations!K27</f>
        <v>6409.9425330846243</v>
      </c>
      <c r="I29" s="114">
        <f>Calculations!L27</f>
        <v>90585.307877552274</v>
      </c>
      <c r="J29" s="127">
        <f>Calculations!M27</f>
        <v>2.372787303469492</v>
      </c>
      <c r="K29" s="297">
        <f>Calculations!N27</f>
        <v>33.532230172630996</v>
      </c>
      <c r="L29" s="300">
        <f>IF('Energy Savings Calculator'!C28=0,0,Calculations!O27)</f>
        <v>0</v>
      </c>
      <c r="M29" s="300">
        <f>IF('Energy Savings Calculator'!D28=0,0,Calculations!P27)</f>
        <v>0</v>
      </c>
      <c r="N29" s="300">
        <f>IF('Energy Savings Calculator'!E28=0,0,Calculations!Q27)</f>
        <v>1.4471895552870448</v>
      </c>
    </row>
    <row r="30" spans="2:14" ht="15.75" thickBot="1">
      <c r="B30" s="7">
        <v>200</v>
      </c>
      <c r="C30" s="4">
        <f>Calculations!F28</f>
        <v>0.1772</v>
      </c>
      <c r="D30" s="306">
        <v>11623.2835</v>
      </c>
      <c r="E30" s="306">
        <v>17851</v>
      </c>
      <c r="F30" s="306">
        <v>29474.283499999998</v>
      </c>
      <c r="G30" s="114">
        <f>Calculations!J28</f>
        <v>107234.0425531915</v>
      </c>
      <c r="H30" s="115">
        <f>Calculations!K28</f>
        <v>7978.7234042552855</v>
      </c>
      <c r="I30" s="114">
        <f>Calculations!L28</f>
        <v>112978.7234042553</v>
      </c>
      <c r="J30" s="127">
        <f>Calculations!M28</f>
        <v>2.3577787837633823</v>
      </c>
      <c r="K30" s="297">
        <f>Calculations!N28</f>
        <v>33.386147578089634</v>
      </c>
      <c r="L30" s="300">
        <f>IF('Energy Savings Calculator'!C29=0,0,Calculations!O28)</f>
        <v>0</v>
      </c>
      <c r="M30" s="300">
        <f>IF('Energy Savings Calculator'!D29=0,0,Calculations!P28)</f>
        <v>0</v>
      </c>
      <c r="N30" s="300">
        <f>IF('Energy Savings Calculator'!E29=0,0,Calculations!Q28)</f>
        <v>1.4437065801458622</v>
      </c>
    </row>
    <row r="31" spans="2:14" ht="15.75" thickBot="1">
      <c r="B31" s="7">
        <v>375</v>
      </c>
      <c r="C31" s="4">
        <f>Calculations!F29</f>
        <v>0.1772</v>
      </c>
      <c r="D31" s="306">
        <v>15450.869499999999</v>
      </c>
      <c r="E31" s="306">
        <v>33326</v>
      </c>
      <c r="F31" s="306">
        <v>48776.869500000001</v>
      </c>
      <c r="G31" s="114">
        <f>Calculations!J29</f>
        <v>201063.82978723402</v>
      </c>
      <c r="H31" s="115">
        <f>Calculations!K29</f>
        <v>14960.10638297866</v>
      </c>
      <c r="I31" s="114">
        <f>Calculations!L29</f>
        <v>211835.1063829787</v>
      </c>
      <c r="J31" s="127">
        <f>Calculations!M29</f>
        <v>2.3577787837633823</v>
      </c>
      <c r="K31" s="297">
        <f>Calculations!N29</f>
        <v>33.386147578089634</v>
      </c>
      <c r="L31" s="300">
        <f>IF('Energy Savings Calculator'!C30=0,0,Calculations!O29)</f>
        <v>0</v>
      </c>
      <c r="M31" s="300">
        <f>IF('Energy Savings Calculator'!D30=0,0,Calculations!P29)</f>
        <v>0</v>
      </c>
      <c r="N31" s="300">
        <f>IF('Energy Savings Calculator'!E30=0,0,Calculations!Q29)</f>
        <v>1.2742314830678936</v>
      </c>
    </row>
    <row r="32" spans="2:14" ht="15.75" thickBot="1">
      <c r="B32" s="7">
        <v>400</v>
      </c>
      <c r="C32" s="4">
        <f>Calculations!F30</f>
        <v>0.1772</v>
      </c>
      <c r="D32" s="306">
        <v>15450.869499999999</v>
      </c>
      <c r="E32" s="306">
        <v>35493</v>
      </c>
      <c r="F32" s="306">
        <v>50943.869500000001</v>
      </c>
      <c r="G32" s="114">
        <f>Calculations!J30</f>
        <v>214468.08510638299</v>
      </c>
      <c r="H32" s="115">
        <f>Calculations!K30</f>
        <v>15957.446808510571</v>
      </c>
      <c r="I32" s="114">
        <f>Calculations!L30</f>
        <v>225957.44680851061</v>
      </c>
      <c r="J32" s="127">
        <f>Calculations!M30</f>
        <v>2.3577787837633823</v>
      </c>
      <c r="K32" s="303">
        <f>Calculations!N30</f>
        <v>33.386147578089634</v>
      </c>
      <c r="L32" s="304">
        <f>IF('Energy Savings Calculator'!C31=0,0,Calculations!O30)</f>
        <v>0</v>
      </c>
      <c r="M32" s="304">
        <f>IF('Energy Savings Calculator'!D31=0,0,Calculations!P30)</f>
        <v>0</v>
      </c>
      <c r="N32" s="305">
        <f>IF('Energy Savings Calculator'!E31=0,0,Calculations!Q30)</f>
        <v>1.2476639103922933</v>
      </c>
    </row>
    <row r="33" spans="2:14">
      <c r="B33" s="156"/>
      <c r="C33" s="156"/>
      <c r="D33" s="156"/>
      <c r="E33" s="156"/>
      <c r="F33" s="156"/>
      <c r="G33" s="156"/>
      <c r="H33" s="156"/>
      <c r="I33" s="156"/>
      <c r="J33" s="301"/>
      <c r="K33" s="301"/>
      <c r="L33" s="302"/>
      <c r="M33" s="302"/>
      <c r="N33" s="302"/>
    </row>
  </sheetData>
  <sheetProtection password="9E49" sheet="1" objects="1" scenarios="1"/>
  <mergeCells count="23">
    <mergeCell ref="M2:N4"/>
    <mergeCell ref="H3:I3"/>
    <mergeCell ref="J3:K4"/>
    <mergeCell ref="L3:L4"/>
    <mergeCell ref="H4:I4"/>
    <mergeCell ref="H2:I2"/>
    <mergeCell ref="E2:G2"/>
    <mergeCell ref="E3:G3"/>
    <mergeCell ref="E4:G4"/>
    <mergeCell ref="B2:D4"/>
    <mergeCell ref="J2:K2"/>
    <mergeCell ref="L5:N5"/>
    <mergeCell ref="H8:N8"/>
    <mergeCell ref="B33:I33"/>
    <mergeCell ref="D5:E5"/>
    <mergeCell ref="G5:H5"/>
    <mergeCell ref="I5:K5"/>
    <mergeCell ref="D6:F6"/>
    <mergeCell ref="G6:I6"/>
    <mergeCell ref="J6:K6"/>
    <mergeCell ref="L6:N6"/>
    <mergeCell ref="J33:K33"/>
    <mergeCell ref="D8:F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sheetPr codeName="Sheet7">
    <tabColor theme="9" tint="0.39997558519241921"/>
  </sheetPr>
  <dimension ref="A1:K12"/>
  <sheetViews>
    <sheetView workbookViewId="0">
      <selection activeCell="I16" sqref="I16"/>
    </sheetView>
  </sheetViews>
  <sheetFormatPr defaultRowHeight="12.75"/>
  <cols>
    <col min="1" max="16384" width="9.140625" style="116"/>
  </cols>
  <sheetData>
    <row r="1" spans="1:11" ht="15.75">
      <c r="A1" s="178" t="s">
        <v>106</v>
      </c>
      <c r="B1" s="178"/>
      <c r="C1" s="178"/>
      <c r="D1" s="178"/>
      <c r="E1" s="178"/>
      <c r="F1" s="178"/>
      <c r="G1" s="178"/>
      <c r="H1" s="178"/>
      <c r="I1" s="178"/>
      <c r="J1" s="178"/>
      <c r="K1" s="178"/>
    </row>
    <row r="2" spans="1:11" ht="72" customHeight="1">
      <c r="A2" s="142">
        <v>1</v>
      </c>
      <c r="B2" s="179" t="s">
        <v>138</v>
      </c>
      <c r="C2" s="179"/>
      <c r="D2" s="179"/>
      <c r="E2" s="179"/>
      <c r="F2" s="179"/>
      <c r="G2" s="179"/>
      <c r="H2" s="179"/>
      <c r="I2" s="179"/>
      <c r="J2" s="179"/>
      <c r="K2" s="179"/>
    </row>
    <row r="3" spans="1:11" ht="12.75" customHeight="1">
      <c r="A3" s="180">
        <v>2</v>
      </c>
      <c r="B3" s="179" t="s">
        <v>132</v>
      </c>
      <c r="C3" s="179"/>
      <c r="D3" s="179"/>
      <c r="E3" s="179"/>
      <c r="F3" s="179"/>
      <c r="G3" s="179"/>
      <c r="H3" s="179"/>
      <c r="I3" s="179"/>
      <c r="J3" s="179"/>
      <c r="K3" s="179"/>
    </row>
    <row r="4" spans="1:11" ht="14.25" customHeight="1">
      <c r="A4" s="180"/>
      <c r="B4" s="179"/>
      <c r="C4" s="179"/>
      <c r="D4" s="179"/>
      <c r="E4" s="179"/>
      <c r="F4" s="179"/>
      <c r="G4" s="179"/>
      <c r="H4" s="179"/>
      <c r="I4" s="179"/>
      <c r="J4" s="179"/>
      <c r="K4" s="179"/>
    </row>
    <row r="5" spans="1:11" ht="14.25" customHeight="1">
      <c r="A5" s="180"/>
      <c r="B5" s="179"/>
      <c r="C5" s="179"/>
      <c r="D5" s="179"/>
      <c r="E5" s="179"/>
      <c r="F5" s="179"/>
      <c r="G5" s="179"/>
      <c r="H5" s="179"/>
      <c r="I5" s="179"/>
      <c r="J5" s="179"/>
      <c r="K5" s="179"/>
    </row>
    <row r="6" spans="1:11" ht="45" customHeight="1">
      <c r="A6" s="180"/>
      <c r="B6" s="179"/>
      <c r="C6" s="179"/>
      <c r="D6" s="179"/>
      <c r="E6" s="179"/>
      <c r="F6" s="179"/>
      <c r="G6" s="179"/>
      <c r="H6" s="179"/>
      <c r="I6" s="179"/>
      <c r="J6" s="179"/>
      <c r="K6" s="179"/>
    </row>
    <row r="7" spans="1:11" ht="12.75" customHeight="1">
      <c r="A7" s="180">
        <v>3</v>
      </c>
      <c r="B7" s="179" t="s">
        <v>129</v>
      </c>
      <c r="C7" s="179"/>
      <c r="D7" s="179"/>
      <c r="E7" s="179"/>
      <c r="F7" s="179"/>
      <c r="G7" s="179"/>
      <c r="H7" s="179"/>
      <c r="I7" s="179"/>
      <c r="J7" s="179"/>
      <c r="K7" s="179"/>
    </row>
    <row r="8" spans="1:11" ht="21" customHeight="1">
      <c r="A8" s="180"/>
      <c r="B8" s="179"/>
      <c r="C8" s="179"/>
      <c r="D8" s="179"/>
      <c r="E8" s="179"/>
      <c r="F8" s="179"/>
      <c r="G8" s="179"/>
      <c r="H8" s="179"/>
      <c r="I8" s="179"/>
      <c r="J8" s="179"/>
      <c r="K8" s="179"/>
    </row>
    <row r="9" spans="1:11">
      <c r="A9" s="180">
        <v>4</v>
      </c>
      <c r="B9" s="179" t="s">
        <v>137</v>
      </c>
      <c r="C9" s="179"/>
      <c r="D9" s="179"/>
      <c r="E9" s="179"/>
      <c r="F9" s="179"/>
      <c r="G9" s="179"/>
      <c r="H9" s="179"/>
      <c r="I9" s="179"/>
      <c r="J9" s="179"/>
      <c r="K9" s="179"/>
    </row>
    <row r="10" spans="1:11" ht="35.25" customHeight="1">
      <c r="A10" s="180"/>
      <c r="B10" s="179"/>
      <c r="C10" s="179"/>
      <c r="D10" s="179"/>
      <c r="E10" s="179"/>
      <c r="F10" s="179"/>
      <c r="G10" s="179"/>
      <c r="H10" s="179"/>
      <c r="I10" s="179"/>
      <c r="J10" s="179"/>
      <c r="K10" s="179"/>
    </row>
    <row r="11" spans="1:11">
      <c r="A11" s="180"/>
      <c r="B11" s="179"/>
      <c r="C11" s="179"/>
      <c r="D11" s="179"/>
      <c r="E11" s="179"/>
      <c r="F11" s="179"/>
      <c r="G11" s="179"/>
      <c r="H11" s="179"/>
      <c r="I11" s="179"/>
      <c r="J11" s="179"/>
      <c r="K11" s="179"/>
    </row>
    <row r="12" spans="1:11">
      <c r="A12" s="180"/>
      <c r="B12" s="179"/>
      <c r="C12" s="179"/>
      <c r="D12" s="179"/>
      <c r="E12" s="179"/>
      <c r="F12" s="179"/>
      <c r="G12" s="179"/>
      <c r="H12" s="179"/>
      <c r="I12" s="179"/>
      <c r="J12" s="179"/>
      <c r="K12" s="179"/>
    </row>
  </sheetData>
  <sheetProtection password="9E49" sheet="1" objects="1" scenarios="1"/>
  <mergeCells count="10">
    <mergeCell ref="A9:A10"/>
    <mergeCell ref="B9:K10"/>
    <mergeCell ref="A11:A12"/>
    <mergeCell ref="B11:K12"/>
    <mergeCell ref="A1:K1"/>
    <mergeCell ref="B2:K2"/>
    <mergeCell ref="A3:A6"/>
    <mergeCell ref="B3:K6"/>
    <mergeCell ref="A7:A8"/>
    <mergeCell ref="B7:K8"/>
  </mergeCells>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1"/>
  <dimension ref="A1:Z34"/>
  <sheetViews>
    <sheetView workbookViewId="0">
      <pane xSplit="1" ySplit="5" topLeftCell="B6" activePane="bottomRight" state="frozen"/>
      <selection pane="topRight" activeCell="B1" sqref="B1"/>
      <selection pane="bottomLeft" activeCell="A6" sqref="A6"/>
      <selection pane="bottomRight" activeCell="G14" sqref="G14"/>
    </sheetView>
  </sheetViews>
  <sheetFormatPr defaultRowHeight="15"/>
  <cols>
    <col min="2" max="2" width="11.5703125" customWidth="1"/>
    <col min="3" max="3" width="12.140625" customWidth="1"/>
    <col min="4" max="4" width="11.42578125" customWidth="1"/>
    <col min="5" max="5" width="9.7109375" customWidth="1"/>
    <col min="6" max="6" width="10.5703125" customWidth="1"/>
    <col min="7" max="7" width="7.85546875" customWidth="1"/>
    <col min="8" max="8" width="8.7109375" customWidth="1"/>
    <col min="9" max="9" width="6.5703125" bestFit="1" customWidth="1"/>
    <col min="10" max="10" width="12.28515625" customWidth="1"/>
    <col min="11" max="11" width="10.28515625" customWidth="1"/>
    <col min="12" max="12" width="10.140625" bestFit="1" customWidth="1"/>
    <col min="13" max="13" width="8" customWidth="1"/>
    <col min="14" max="14" width="8.5703125" customWidth="1"/>
    <col min="15" max="15" width="9.140625" bestFit="1" customWidth="1"/>
    <col min="16" max="16" width="10.7109375" bestFit="1" customWidth="1"/>
    <col min="17" max="17" width="8.85546875" style="1" customWidth="1"/>
    <col min="18" max="18" width="9.5703125" customWidth="1"/>
    <col min="19" max="19" width="6.85546875" customWidth="1"/>
    <col min="20" max="20" width="10.42578125" customWidth="1"/>
    <col min="21" max="21" width="10" customWidth="1"/>
    <col min="22" max="22" width="5.28515625" customWidth="1"/>
    <col min="23" max="23" width="9.42578125" customWidth="1"/>
    <col min="25" max="25" width="6" customWidth="1"/>
    <col min="26" max="26" width="10.5703125" customWidth="1"/>
    <col min="27" max="27" width="13.7109375" customWidth="1"/>
    <col min="30" max="30" width="13" customWidth="1"/>
    <col min="31" max="31" width="10.7109375" customWidth="1"/>
    <col min="32" max="32" width="15.28515625" customWidth="1"/>
  </cols>
  <sheetData>
    <row r="1" spans="1:26" ht="15.75" thickBot="1">
      <c r="A1" s="21" t="s">
        <v>48</v>
      </c>
      <c r="D1" s="181"/>
      <c r="E1" s="181"/>
      <c r="F1" s="181"/>
    </row>
    <row r="2" spans="1:26" ht="15" customHeight="1">
      <c r="A2" s="201" t="s">
        <v>53</v>
      </c>
      <c r="B2" s="201"/>
      <c r="C2" s="23" t="s">
        <v>51</v>
      </c>
      <c r="D2" s="205" t="s">
        <v>49</v>
      </c>
      <c r="E2" s="205"/>
      <c r="R2" s="189" t="s">
        <v>52</v>
      </c>
      <c r="S2" s="187">
        <v>4</v>
      </c>
      <c r="T2" s="196"/>
      <c r="U2" s="189" t="s">
        <v>52</v>
      </c>
      <c r="V2" s="187">
        <v>5</v>
      </c>
      <c r="W2" s="196"/>
      <c r="X2" s="191" t="s">
        <v>52</v>
      </c>
      <c r="Y2" s="187">
        <v>2</v>
      </c>
      <c r="Z2" s="182"/>
    </row>
    <row r="3" spans="1:26" ht="15" customHeight="1" thickBot="1">
      <c r="A3" s="201"/>
      <c r="B3" s="201"/>
      <c r="C3" s="199" t="str">
        <f>'Energy Savings Calculator'!E4</f>
        <v>Pumps</v>
      </c>
      <c r="D3" s="204" t="s">
        <v>50</v>
      </c>
      <c r="E3" s="199" t="str">
        <f>'Energy Savings Calculator'!D4</f>
        <v>Premium Efficiency (IE3)</v>
      </c>
      <c r="F3" s="21"/>
      <c r="G3" s="21"/>
      <c r="H3" s="21"/>
      <c r="I3" s="21"/>
      <c r="J3" s="21"/>
      <c r="K3" s="21"/>
      <c r="L3" s="21"/>
      <c r="M3" s="21"/>
      <c r="N3" s="21"/>
      <c r="O3" s="21"/>
      <c r="P3" s="21"/>
      <c r="Q3" s="21"/>
      <c r="R3" s="190"/>
      <c r="S3" s="188"/>
      <c r="T3" s="197"/>
      <c r="U3" s="190"/>
      <c r="V3" s="188"/>
      <c r="W3" s="197"/>
      <c r="X3" s="192"/>
      <c r="Y3" s="188"/>
      <c r="Z3" s="183"/>
    </row>
    <row r="4" spans="1:26" ht="45" customHeight="1" thickTop="1">
      <c r="A4" s="201"/>
      <c r="B4" s="201"/>
      <c r="C4" s="200"/>
      <c r="D4" s="204"/>
      <c r="E4" s="200"/>
      <c r="F4" s="41"/>
      <c r="G4" s="202" t="s">
        <v>114</v>
      </c>
      <c r="H4" s="203"/>
      <c r="I4" s="203"/>
      <c r="J4" s="177" t="s">
        <v>11</v>
      </c>
      <c r="K4" s="177"/>
      <c r="L4" s="177"/>
      <c r="M4" s="177" t="s">
        <v>58</v>
      </c>
      <c r="N4" s="177"/>
      <c r="O4" s="177" t="s">
        <v>10</v>
      </c>
      <c r="P4" s="177"/>
      <c r="Q4" s="174"/>
      <c r="R4" s="193" t="s">
        <v>7</v>
      </c>
      <c r="S4" s="194"/>
      <c r="T4" s="195"/>
      <c r="U4" s="193" t="s">
        <v>56</v>
      </c>
      <c r="V4" s="194"/>
      <c r="W4" s="195"/>
      <c r="X4" s="184" t="s">
        <v>57</v>
      </c>
      <c r="Y4" s="185"/>
      <c r="Z4" s="186"/>
    </row>
    <row r="5" spans="1:26" ht="60" customHeight="1">
      <c r="A5" s="107" t="s">
        <v>130</v>
      </c>
      <c r="B5" s="13" t="s">
        <v>1</v>
      </c>
      <c r="C5" s="53" t="s">
        <v>81</v>
      </c>
      <c r="D5" s="108" t="s">
        <v>120</v>
      </c>
      <c r="E5" s="53" t="s">
        <v>82</v>
      </c>
      <c r="F5" s="22" t="s">
        <v>4</v>
      </c>
      <c r="G5" s="32" t="s">
        <v>7</v>
      </c>
      <c r="H5" s="16" t="s">
        <v>8</v>
      </c>
      <c r="I5" s="22" t="s">
        <v>9</v>
      </c>
      <c r="J5" s="53" t="s">
        <v>83</v>
      </c>
      <c r="K5" s="24" t="s">
        <v>8</v>
      </c>
      <c r="L5" s="24" t="s">
        <v>9</v>
      </c>
      <c r="M5" s="24" t="s">
        <v>8</v>
      </c>
      <c r="N5" s="24" t="s">
        <v>9</v>
      </c>
      <c r="O5" s="24" t="s">
        <v>7</v>
      </c>
      <c r="P5" s="24" t="s">
        <v>8</v>
      </c>
      <c r="Q5" s="22" t="s">
        <v>9</v>
      </c>
      <c r="R5" s="64" t="s">
        <v>54</v>
      </c>
      <c r="S5" s="65" t="s">
        <v>55</v>
      </c>
      <c r="T5" s="66" t="s">
        <v>59</v>
      </c>
      <c r="U5" s="64" t="s">
        <v>54</v>
      </c>
      <c r="V5" s="65" t="s">
        <v>55</v>
      </c>
      <c r="W5" s="66" t="s">
        <v>59</v>
      </c>
      <c r="X5" s="64" t="s">
        <v>54</v>
      </c>
      <c r="Y5" s="65" t="s">
        <v>55</v>
      </c>
      <c r="Z5" s="66" t="s">
        <v>59</v>
      </c>
    </row>
    <row r="6" spans="1:26">
      <c r="A6" s="6"/>
      <c r="B6" s="17"/>
      <c r="C6" s="6"/>
      <c r="D6" s="9"/>
      <c r="E6" s="18"/>
      <c r="F6" s="42">
        <f>'Payback Calculator'!C8</f>
        <v>0.1772</v>
      </c>
      <c r="G6" s="31"/>
      <c r="H6" s="15"/>
      <c r="I6" s="33"/>
      <c r="J6" s="38">
        <f>IF($C$3="Pumps",VLOOKUP($C$3,'VSD Savings'!$A$1:$C$7,3,FALSE),IF($C$3="Fans",VLOOKUP($C$3,'VSD Savings'!$A$1:$C$7,3,FALSE),IF($C$3="Air Compressors",VLOOKUP($C$3,'VSD Savings'!$A$1:$C$7,3,FALSE),IF($C$3="Refrigeration",VLOOKUP($C$3,'VSD Savings'!$A$1:$C$7,3,FALSE),IF($C$3="Conveyors",VLOOKUP($C$3,'VSD Savings'!$A$1:$C$7,3,FALSE),IF($C$3="Air Compressors",VLOOKUP($C$3,'VSD Savings'!$A$1:$C$7,3,FALSE),"nes"))))))</f>
        <v>0.28000000000000003</v>
      </c>
      <c r="K6" s="15"/>
      <c r="L6" s="47"/>
      <c r="M6" s="25"/>
      <c r="N6" s="47"/>
      <c r="O6" s="25"/>
      <c r="P6" s="15"/>
      <c r="Q6" s="47"/>
      <c r="R6" s="55"/>
      <c r="S6" s="50"/>
      <c r="T6" s="56"/>
      <c r="U6" s="57"/>
      <c r="V6" s="50"/>
      <c r="W6" s="56"/>
      <c r="X6" s="57"/>
      <c r="Y6" s="50"/>
      <c r="Z6" s="56"/>
    </row>
    <row r="7" spans="1:26">
      <c r="A7" s="7">
        <v>0.75</v>
      </c>
      <c r="B7" s="119">
        <f>IF('Energy Savings Calculator'!$C$4="Tertiary",IF($C$3="Pumps",VLOOKUP(A7,'Op Data'!$A$3:$Y$28,2,FALSE),IF($C$3="Fans",VLOOKUP(A7,'Op Data'!$A$3:$Y$28,3,FALSE),IF($C$3="Air Compressors",VLOOKUP(A7,'Op Data'!$A$3:$Y$28,4,FALSE),IF($C$3="Conveyors",VLOOKUP(A7,'Op Data'!$A$3:$Y$28,5,FALSE),IF($C$3="Refrigeration",VLOOKUP(A7,'Op Data'!$A$3:$Y$28,6,FALSE),))))),IF($C$3="Pumps",VLOOKUP($A7,'Op Data'!$A$3:$Y$28,16,FALSE),IF($C$3="Fans",VLOOKUP($A7,'Op Data'!$A$3:$Y$28,17,FALSE),IF($C$3="Air Compressors",VLOOKUP($A7,'Op Data'!$A$3:$Y$28,18,FALSE),IF($C$3="Conveyors",VLOOKUP($A7,'Op Data'!$A$3:$Y$28,19,FALSE),IF($C$3="Refrigeration",VLOOKUP($A7,'Op Data'!$A$3:$Y$28,20,FALSE),))))))</f>
        <v>3800</v>
      </c>
      <c r="C7" s="4">
        <v>72.099999999999994</v>
      </c>
      <c r="D7" s="110">
        <f>IF($E$3="High Efficiency (IE2)",VLOOKUP($A7,'Op Data'!$A$3:$N$28,12,FALSE),IF($E$3="Premium Efficiency (IE3)",VLOOKUP($A7,'Op Data'!$A$3:$N$28,13,FALSE),IF($E$3="C",VLOOKUP($A7,'Op Data'!$A$3:$N$28,14,FALSE),)))</f>
        <v>84</v>
      </c>
      <c r="E7" s="111">
        <f>IF('Energy Savings Calculator'!$C$4="Tertiary",IF($C$3="Pumps",VLOOKUP($A7,'Op Data'!$A$3:$K$28,7,FALSE),IF($C$3="Fans",VLOOKUP($A7,'Op Data'!$A$3:$K$28,8,FALSE),IF($C$3="Air Compressors",VLOOKUP($A7,'Op Data'!$A$3:$K$28,9,FALSE),IF($C$3="Conveyors",VLOOKUP($A7,'Op Data'!$A$3:$K$28,10,FALSE),IF($C$3="Refrigeration",VLOOKUP($A7,'Op Data'!$A$3:$K$28,11,FALSE),))))),IF($C$3="Pumps",VLOOKUP($A7,'Op Data'!$A$3:$Y$28,21,FALSE),IF($C$3="Fans",VLOOKUP($A7,'Op Data'!$A$3:$Y$28,22,FALSE),IF($C$3="Air Compressors",VLOOKUP($A7,'Op Data'!$A$3:$Y$28,23,FALSE),IF($C$3="Conveyors",VLOOKUP($A7,'Op Data'!$A$3:$Y$28,24,FALSE),IF($C$3="Refrigeration",VLOOKUP($A7,'Op Data'!$A$3:$Y$28,25,FALSE),))))))</f>
        <v>0.55000000000000004</v>
      </c>
      <c r="F7" s="43">
        <f t="shared" ref="F7:F30" si="0">$F$6</f>
        <v>0.1772</v>
      </c>
      <c r="G7" s="44">
        <f>'Motor €'!P5</f>
        <v>240</v>
      </c>
      <c r="H7" s="8">
        <f>'Motor €'!Q5</f>
        <v>331</v>
      </c>
      <c r="I7" s="45">
        <f>H7+G7</f>
        <v>571</v>
      </c>
      <c r="J7" s="39">
        <f t="shared" ref="J7:J30" si="1">(A7*100/C7)*B7*E7*$J$6</f>
        <v>608.73786407767</v>
      </c>
      <c r="K7" s="19">
        <f>((1*100/C7)-(1*100/D7))*A7*B7*E7</f>
        <v>307.99237170596405</v>
      </c>
      <c r="L7" s="51">
        <f>(((A7*100/D7)*B7*E7)*$J$6)+K7</f>
        <v>830.49237170596416</v>
      </c>
      <c r="M7" s="52">
        <f>(K7/(A7*B7*(C7/100)*E7)*100)</f>
        <v>27.251922542982705</v>
      </c>
      <c r="N7" s="36">
        <f>(L7/(A7*B7*(C7/100)*E7)*100)</f>
        <v>73.484007610019233</v>
      </c>
      <c r="O7" s="34">
        <f t="shared" ref="O7:O30" si="2">G7/(J7*F7)</f>
        <v>2.2249343860369164</v>
      </c>
      <c r="P7" s="26">
        <f>H7/(K7*F7)</f>
        <v>6.0649093793500404</v>
      </c>
      <c r="Q7" s="48">
        <f>I7/((J7+K7)*F7)</f>
        <v>3.5150445616559503</v>
      </c>
      <c r="R7" s="58">
        <f>G7-J7*$F7*$S$2</f>
        <v>-191.47339805825249</v>
      </c>
      <c r="S7" s="62">
        <f>R7/G7*100</f>
        <v>-79.780582524271864</v>
      </c>
      <c r="T7" s="59">
        <f>R7/A7</f>
        <v>-255.29786407766997</v>
      </c>
      <c r="U7" s="58">
        <f>H7-(K7*$F7*$V$2)</f>
        <v>58.118758668515852</v>
      </c>
      <c r="V7" s="62">
        <f>U7/H7*100</f>
        <v>17.558537362089382</v>
      </c>
      <c r="W7" s="59">
        <f>U7/A7</f>
        <v>77.491678224687803</v>
      </c>
      <c r="X7" s="58">
        <f>I7-(L7*$F7*$Y$2)</f>
        <v>276.67350346740631</v>
      </c>
      <c r="Y7" s="62">
        <f>X7/I7*100</f>
        <v>48.454203759615815</v>
      </c>
      <c r="Z7" s="59">
        <f>X7/A7</f>
        <v>368.89800462320841</v>
      </c>
    </row>
    <row r="8" spans="1:26">
      <c r="A8" s="7">
        <v>1.1000000000000001</v>
      </c>
      <c r="B8" s="119">
        <f>IF('Energy Savings Calculator'!$C$4="Tertiary",IF($C$3="Pumps",VLOOKUP(A8,'Op Data'!$A$3:$Y$28,2,FALSE),IF($C$3="Fans",VLOOKUP(A8,'Op Data'!$A$3:$Y$28,3,FALSE),IF($C$3="Air Compressors",VLOOKUP(A8,'Op Data'!$A$3:$Y$28,4,FALSE),IF($C$3="Conveyors",VLOOKUP(A8,'Op Data'!$A$3:$Y$28,5,FALSE),IF($C$3="Refrigeration",VLOOKUP(A8,'Op Data'!$A$3:$Y$28,6,FALSE),))))),IF($C$3="Pumps",VLOOKUP($A8,'Op Data'!$A$3:$Y$28,16,FALSE),IF($C$3="Fans",VLOOKUP($A8,'Op Data'!$A$3:$Y$28,17,FALSE),IF($C$3="Air Compressors",VLOOKUP($A8,'Op Data'!$A$3:$Y$28,18,FALSE),IF($C$3="Conveyors",VLOOKUP($A8,'Op Data'!$A$3:$Y$28,19,FALSE),IF($C$3="Refrigeration",VLOOKUP($A8,'Op Data'!$A$3:$Y$28,20,FALSE),))))))</f>
        <v>3800</v>
      </c>
      <c r="C8" s="4">
        <v>75.099999999999994</v>
      </c>
      <c r="D8" s="110">
        <f>IF($E$3="High Efficiency (IE2)",VLOOKUP($A8,'Op Data'!$A$3:$N$28,12,FALSE),IF($E$3="Premium Efficiency (IE3)",VLOOKUP($A8,'Op Data'!$A$3:$N$28,13,FALSE),IF($E$3="C",VLOOKUP($A8,'Op Data'!$A$3:$N$28,14,FALSE),)))</f>
        <v>85.3</v>
      </c>
      <c r="E8" s="111">
        <f>IF('Energy Savings Calculator'!$C$4="Tertiary",IF($C$3="Pumps",VLOOKUP($A8,'Op Data'!$A$3:$K$28,7,FALSE),IF($C$3="Fans",VLOOKUP($A8,'Op Data'!$A$3:$K$28,8,FALSE),IF($C$3="Air Compressors",VLOOKUP($A8,'Op Data'!$A$3:$K$28,9,FALSE),IF($C$3="Conveyors",VLOOKUP($A8,'Op Data'!$A$3:$K$28,10,FALSE),IF($C$3="Refrigeration",VLOOKUP($A8,'Op Data'!$A$3:$K$28,11,FALSE),))))),IF($C$3="Pumps",VLOOKUP($A8,'Op Data'!$A$3:$Y$28,21,FALSE),IF($C$3="Fans",VLOOKUP($A8,'Op Data'!$A$3:$Y$28,22,FALSE),IF($C$3="Air Compressors",VLOOKUP($A8,'Op Data'!$A$3:$Y$28,23,FALSE),IF($C$3="Conveyors",VLOOKUP($A8,'Op Data'!$A$3:$Y$28,24,FALSE),IF($C$3="Refrigeration",VLOOKUP($A8,'Op Data'!$A$3:$Y$28,25,FALSE),))))))</f>
        <v>0.55000000000000004</v>
      </c>
      <c r="F8" s="43">
        <f t="shared" si="0"/>
        <v>0.1772</v>
      </c>
      <c r="G8" s="44">
        <f>'Motor €'!P6</f>
        <v>271</v>
      </c>
      <c r="H8" s="8">
        <f>'Motor €'!Q6</f>
        <v>465</v>
      </c>
      <c r="I8" s="45">
        <f t="shared" ref="I8:I30" si="3">H8+G8</f>
        <v>736</v>
      </c>
      <c r="J8" s="39">
        <f t="shared" si="1"/>
        <v>857.15046604527333</v>
      </c>
      <c r="K8" s="19">
        <f>((1*100/C8)-(1*100/D8))*A8*B8*E8</f>
        <v>366.0582295118819</v>
      </c>
      <c r="L8" s="51">
        <f t="shared" ref="L8:L30" si="4">(((A8*100/D8)*B8*E8)*$J$6)+K8</f>
        <v>1120.7123912938282</v>
      </c>
      <c r="M8" s="52">
        <f t="shared" ref="M8:M30" si="5">(K8/(A8*B8*(C8/100)*E8)*100)</f>
        <v>21.201728390673068</v>
      </c>
      <c r="N8" s="36">
        <f t="shared" ref="N8:N30" si="6">(L8/(A8*B8*(C8/100)*E8)*100)</f>
        <v>64.910546488621421</v>
      </c>
      <c r="O8" s="34">
        <f t="shared" si="2"/>
        <v>1.7842204292515882</v>
      </c>
      <c r="P8" s="26">
        <f t="shared" ref="P8:P30" si="7">H8/(K8*F8)</f>
        <v>7.1686777876036096</v>
      </c>
      <c r="Q8" s="48">
        <f t="shared" ref="Q8:Q30" si="8">I8/((J8+K8)*F8)</f>
        <v>3.3955766390623676</v>
      </c>
      <c r="R8" s="58">
        <f t="shared" ref="R8:R30" si="9">G8-(J8*F8*$S$2)</f>
        <v>-336.54825033288978</v>
      </c>
      <c r="S8" s="62">
        <f t="shared" ref="S8:S30" si="10">R8/G8*100</f>
        <v>-124.18754624829882</v>
      </c>
      <c r="T8" s="59">
        <f t="shared" ref="T8:T30" si="11">R8/A8</f>
        <v>-305.95295484808162</v>
      </c>
      <c r="U8" s="58">
        <f t="shared" ref="U8:U30" si="12">H8-(K8*$F8*$V$2)</f>
        <v>140.67240865247265</v>
      </c>
      <c r="V8" s="62">
        <f t="shared" ref="V8:V30" si="13">U8/H8*100</f>
        <v>30.252130893004868</v>
      </c>
      <c r="W8" s="59">
        <f t="shared" ref="W8:W30" si="14">U8/A8</f>
        <v>127.88400786588421</v>
      </c>
      <c r="X8" s="58">
        <f t="shared" ref="X8:X30" si="15">I8-(L8*$F8*$Y$2)</f>
        <v>338.81952852546732</v>
      </c>
      <c r="Y8" s="62">
        <f t="shared" ref="Y8:Y30" si="16">X8/I8*100</f>
        <v>46.035262027916758</v>
      </c>
      <c r="Z8" s="59">
        <f t="shared" ref="Z8:Z30" si="17">X8/A8</f>
        <v>308.01775320497029</v>
      </c>
    </row>
    <row r="9" spans="1:26">
      <c r="A9" s="7">
        <v>1.5</v>
      </c>
      <c r="B9" s="119">
        <f>IF('Energy Savings Calculator'!$C$4="Tertiary",IF($C$3="Pumps",VLOOKUP(A9,'Op Data'!$A$3:$Y$28,2,FALSE),IF($C$3="Fans",VLOOKUP(A9,'Op Data'!$A$3:$Y$28,3,FALSE),IF($C$3="Air Compressors",VLOOKUP(A9,'Op Data'!$A$3:$Y$28,4,FALSE),IF($C$3="Conveyors",VLOOKUP(A9,'Op Data'!$A$3:$Y$28,5,FALSE),IF($C$3="Refrigeration",VLOOKUP(A9,'Op Data'!$A$3:$Y$28,6,FALSE),))))),IF($C$3="Pumps",VLOOKUP($A9,'Op Data'!$A$3:$Y$28,16,FALSE),IF($C$3="Fans",VLOOKUP($A9,'Op Data'!$A$3:$Y$28,17,FALSE),IF($C$3="Air Compressors",VLOOKUP($A9,'Op Data'!$A$3:$Y$28,18,FALSE),IF($C$3="Conveyors",VLOOKUP($A9,'Op Data'!$A$3:$Y$28,19,FALSE),IF($C$3="Refrigeration",VLOOKUP($A9,'Op Data'!$A$3:$Y$28,20,FALSE),))))))</f>
        <v>3800</v>
      </c>
      <c r="C9" s="4">
        <v>77.2</v>
      </c>
      <c r="D9" s="110">
        <f>IF($E$3="High Efficiency (IE2)",VLOOKUP($A9,'Op Data'!$A$3:$N$28,12,FALSE),IF($E$3="Premium Efficiency (IE3)",VLOOKUP($A9,'Op Data'!$A$3:$N$28,13,FALSE),IF($E$3="C",VLOOKUP($A9,'Op Data'!$A$3:$N$28,14,FALSE),)))</f>
        <v>86.3</v>
      </c>
      <c r="E9" s="111">
        <f>IF('Energy Savings Calculator'!$C$4="Tertiary",IF($C$3="Pumps",VLOOKUP($A9,'Op Data'!$A$3:$K$28,7,FALSE),IF($C$3="Fans",VLOOKUP($A9,'Op Data'!$A$3:$K$28,8,FALSE),IF($C$3="Air Compressors",VLOOKUP($A9,'Op Data'!$A$3:$K$28,9,FALSE),IF($C$3="Conveyors",VLOOKUP($A9,'Op Data'!$A$3:$K$28,10,FALSE),IF($C$3="Refrigeration",VLOOKUP($A9,'Op Data'!$A$3:$K$28,11,FALSE),))))),IF($C$3="Pumps",VLOOKUP($A9,'Op Data'!$A$3:$Y$28,21,FALSE),IF($C$3="Fans",VLOOKUP($A9,'Op Data'!$A$3:$Y$28,22,FALSE),IF($C$3="Air Compressors",VLOOKUP($A9,'Op Data'!$A$3:$Y$28,23,FALSE),IF($C$3="Conveyors",VLOOKUP($A9,'Op Data'!$A$3:$Y$28,24,FALSE),IF($C$3="Refrigeration",VLOOKUP($A9,'Op Data'!$A$3:$Y$28,25,FALSE),))))))</f>
        <v>0.55000000000000004</v>
      </c>
      <c r="F9" s="43">
        <f t="shared" si="0"/>
        <v>0.1772</v>
      </c>
      <c r="G9" s="44">
        <f>'Motor €'!P7</f>
        <v>325</v>
      </c>
      <c r="H9" s="8">
        <f>'Motor €'!Q7</f>
        <v>489</v>
      </c>
      <c r="I9" s="45">
        <f t="shared" si="3"/>
        <v>814</v>
      </c>
      <c r="J9" s="39">
        <f t="shared" si="1"/>
        <v>1137.0466321243528</v>
      </c>
      <c r="K9" s="19">
        <f t="shared" ref="K9:K30" si="18">((1*100/C9)-(1*100/D9))*A9*B9*E9</f>
        <v>428.20411986143029</v>
      </c>
      <c r="L9" s="36">
        <f t="shared" si="4"/>
        <v>1445.3535984245823</v>
      </c>
      <c r="M9" s="39">
        <f t="shared" si="5"/>
        <v>17.692776683996918</v>
      </c>
      <c r="N9" s="36">
        <f t="shared" si="6"/>
        <v>59.719926222598851</v>
      </c>
      <c r="O9" s="34">
        <f t="shared" si="2"/>
        <v>1.6130259981988622</v>
      </c>
      <c r="P9" s="26">
        <f t="shared" si="7"/>
        <v>6.4445752655328539</v>
      </c>
      <c r="Q9" s="48">
        <f t="shared" si="8"/>
        <v>2.9347882135890528</v>
      </c>
      <c r="R9" s="58">
        <f t="shared" si="9"/>
        <v>-480.93865284974117</v>
      </c>
      <c r="S9" s="62">
        <f t="shared" si="10"/>
        <v>-147.98112395376651</v>
      </c>
      <c r="T9" s="59">
        <f t="shared" si="11"/>
        <v>-320.62576856649412</v>
      </c>
      <c r="U9" s="58">
        <f t="shared" si="12"/>
        <v>109.61114980277273</v>
      </c>
      <c r="V9" s="62">
        <f t="shared" si="13"/>
        <v>22.415368057826733</v>
      </c>
      <c r="W9" s="59">
        <f t="shared" si="14"/>
        <v>73.074099868515148</v>
      </c>
      <c r="X9" s="58">
        <f t="shared" si="15"/>
        <v>301.76668471832807</v>
      </c>
      <c r="Y9" s="62">
        <f t="shared" si="16"/>
        <v>37.072074289720888</v>
      </c>
      <c r="Z9" s="59">
        <f t="shared" si="17"/>
        <v>201.17778981221872</v>
      </c>
    </row>
    <row r="10" spans="1:26">
      <c r="A10" s="7">
        <v>2.2000000000000002</v>
      </c>
      <c r="B10" s="119">
        <f>IF('Energy Savings Calculator'!$C$4="Tertiary",IF($C$3="Pumps",VLOOKUP(A10,'Op Data'!$A$3:$Y$28,2,FALSE),IF($C$3="Fans",VLOOKUP(A10,'Op Data'!$A$3:$Y$28,3,FALSE),IF($C$3="Air Compressors",VLOOKUP(A10,'Op Data'!$A$3:$Y$28,4,FALSE),IF($C$3="Conveyors",VLOOKUP(A10,'Op Data'!$A$3:$Y$28,5,FALSE),IF($C$3="Refrigeration",VLOOKUP(A10,'Op Data'!$A$3:$Y$28,6,FALSE),))))),IF($C$3="Pumps",VLOOKUP($A10,'Op Data'!$A$3:$Y$28,16,FALSE),IF($C$3="Fans",VLOOKUP($A10,'Op Data'!$A$3:$Y$28,17,FALSE),IF($C$3="Air Compressors",VLOOKUP($A10,'Op Data'!$A$3:$Y$28,18,FALSE),IF($C$3="Conveyors",VLOOKUP($A10,'Op Data'!$A$3:$Y$28,19,FALSE),IF($C$3="Refrigeration",VLOOKUP($A10,'Op Data'!$A$3:$Y$28,20,FALSE),))))))</f>
        <v>3800</v>
      </c>
      <c r="C10" s="4">
        <v>79.7</v>
      </c>
      <c r="D10" s="110">
        <f>IF($E$3="High Efficiency (IE2)",VLOOKUP($A10,'Op Data'!$A$3:$N$28,12,FALSE),IF($E$3="Premium Efficiency (IE3)",VLOOKUP($A10,'Op Data'!$A$3:$N$28,13,FALSE),IF($E$3="C",VLOOKUP($A10,'Op Data'!$A$3:$N$28,14,FALSE),)))</f>
        <v>87.5</v>
      </c>
      <c r="E10" s="111">
        <f>IF('Energy Savings Calculator'!$C$4="Tertiary",IF($C$3="Pumps",VLOOKUP($A10,'Op Data'!$A$3:$K$28,7,FALSE),IF($C$3="Fans",VLOOKUP($A10,'Op Data'!$A$3:$K$28,8,FALSE),IF($C$3="Air Compressors",VLOOKUP($A10,'Op Data'!$A$3:$K$28,9,FALSE),IF($C$3="Conveyors",VLOOKUP($A10,'Op Data'!$A$3:$K$28,10,FALSE),IF($C$3="Refrigeration",VLOOKUP($A10,'Op Data'!$A$3:$K$28,11,FALSE),))))),IF($C$3="Pumps",VLOOKUP($A10,'Op Data'!$A$3:$Y$28,21,FALSE),IF($C$3="Fans",VLOOKUP($A10,'Op Data'!$A$3:$Y$28,22,FALSE),IF($C$3="Air Compressors",VLOOKUP($A10,'Op Data'!$A$3:$Y$28,23,FALSE),IF($C$3="Conveyors",VLOOKUP($A10,'Op Data'!$A$3:$Y$28,24,FALSE),IF($C$3="Refrigeration",VLOOKUP($A10,'Op Data'!$A$3:$Y$28,25,FALSE),))))))</f>
        <v>0.55000000000000004</v>
      </c>
      <c r="F10" s="43">
        <f t="shared" si="0"/>
        <v>0.1772</v>
      </c>
      <c r="G10" s="44">
        <f>'Motor €'!P8</f>
        <v>377.5</v>
      </c>
      <c r="H10" s="8">
        <f>'Motor €'!Q8</f>
        <v>559</v>
      </c>
      <c r="I10" s="45">
        <f t="shared" si="3"/>
        <v>936.5</v>
      </c>
      <c r="J10" s="39">
        <f t="shared" si="1"/>
        <v>1615.3575909661236</v>
      </c>
      <c r="K10" s="19">
        <f t="shared" si="18"/>
        <v>514.27711059329613</v>
      </c>
      <c r="L10" s="36">
        <f t="shared" si="4"/>
        <v>1985.6371105932965</v>
      </c>
      <c r="M10" s="39">
        <f t="shared" si="5"/>
        <v>14.033626277785283</v>
      </c>
      <c r="N10" s="36">
        <f t="shared" si="6"/>
        <v>54.184190895100215</v>
      </c>
      <c r="O10" s="34">
        <f t="shared" si="2"/>
        <v>1.3188170753825215</v>
      </c>
      <c r="P10" s="26">
        <f t="shared" si="7"/>
        <v>6.1341006133134099</v>
      </c>
      <c r="Q10" s="48">
        <f t="shared" si="8"/>
        <v>2.4816409637992676</v>
      </c>
      <c r="R10" s="58">
        <f t="shared" si="9"/>
        <v>-767.46546047678839</v>
      </c>
      <c r="S10" s="62">
        <f t="shared" si="10"/>
        <v>-203.30210873557309</v>
      </c>
      <c r="T10" s="59">
        <f t="shared" si="11"/>
        <v>-348.84793658035835</v>
      </c>
      <c r="U10" s="58">
        <f t="shared" si="12"/>
        <v>103.35048001433961</v>
      </c>
      <c r="V10" s="62">
        <f t="shared" si="13"/>
        <v>18.488457963209232</v>
      </c>
      <c r="W10" s="59">
        <f t="shared" si="14"/>
        <v>46.977490915608911</v>
      </c>
      <c r="X10" s="58">
        <f t="shared" si="15"/>
        <v>232.79020800573574</v>
      </c>
      <c r="Y10" s="62">
        <f t="shared" si="16"/>
        <v>24.857470155444286</v>
      </c>
      <c r="Z10" s="59">
        <f t="shared" si="17"/>
        <v>105.81373091169806</v>
      </c>
    </row>
    <row r="11" spans="1:26">
      <c r="A11" s="7">
        <v>3</v>
      </c>
      <c r="B11" s="119">
        <f>IF('Energy Savings Calculator'!$C$4="Tertiary",IF($C$3="Pumps",VLOOKUP(A11,'Op Data'!$A$3:$Y$28,2,FALSE),IF($C$3="Fans",VLOOKUP(A11,'Op Data'!$A$3:$Y$28,3,FALSE),IF($C$3="Air Compressors",VLOOKUP(A11,'Op Data'!$A$3:$Y$28,4,FALSE),IF($C$3="Conveyors",VLOOKUP(A11,'Op Data'!$A$3:$Y$28,5,FALSE),IF($C$3="Refrigeration",VLOOKUP(A11,'Op Data'!$A$3:$Y$28,6,FALSE),))))),IF($C$3="Pumps",VLOOKUP($A11,'Op Data'!$A$3:$Y$28,16,FALSE),IF($C$3="Fans",VLOOKUP($A11,'Op Data'!$A$3:$Y$28,17,FALSE),IF($C$3="Air Compressors",VLOOKUP($A11,'Op Data'!$A$3:$Y$28,18,FALSE),IF($C$3="Conveyors",VLOOKUP($A11,'Op Data'!$A$3:$Y$28,19,FALSE),IF($C$3="Refrigeration",VLOOKUP($A11,'Op Data'!$A$3:$Y$28,20,FALSE),))))))</f>
        <v>3800</v>
      </c>
      <c r="C11" s="4">
        <v>81.5</v>
      </c>
      <c r="D11" s="110">
        <f>IF($E$3="High Efficiency (IE2)",VLOOKUP($A11,'Op Data'!$A$3:$N$28,12,FALSE),IF($E$3="Premium Efficiency (IE3)",VLOOKUP($A11,'Op Data'!$A$3:$N$28,13,FALSE),IF($E$3="C",VLOOKUP($A11,'Op Data'!$A$3:$N$28,14,FALSE),)))</f>
        <v>88.4</v>
      </c>
      <c r="E11" s="111">
        <f>IF('Energy Savings Calculator'!$C$4="Tertiary",IF($C$3="Pumps",VLOOKUP($A11,'Op Data'!$A$3:$K$28,7,FALSE),IF($C$3="Fans",VLOOKUP($A11,'Op Data'!$A$3:$K$28,8,FALSE),IF($C$3="Air Compressors",VLOOKUP($A11,'Op Data'!$A$3:$K$28,9,FALSE),IF($C$3="Conveyors",VLOOKUP($A11,'Op Data'!$A$3:$K$28,10,FALSE),IF($C$3="Refrigeration",VLOOKUP($A11,'Op Data'!$A$3:$K$28,11,FALSE),))))),IF($C$3="Pumps",VLOOKUP($A11,'Op Data'!$A$3:$Y$28,21,FALSE),IF($C$3="Fans",VLOOKUP($A11,'Op Data'!$A$3:$Y$28,22,FALSE),IF($C$3="Air Compressors",VLOOKUP($A11,'Op Data'!$A$3:$Y$28,23,FALSE),IF($C$3="Conveyors",VLOOKUP($A11,'Op Data'!$A$3:$Y$28,24,FALSE),IF($C$3="Refrigeration",VLOOKUP($A11,'Op Data'!$A$3:$Y$28,25,FALSE),))))))</f>
        <v>0.55000000000000004</v>
      </c>
      <c r="F11" s="43">
        <f t="shared" si="0"/>
        <v>0.1772</v>
      </c>
      <c r="G11" s="44">
        <f>'Motor €'!P9</f>
        <v>640.5</v>
      </c>
      <c r="H11" s="8">
        <f>'Motor €'!Q9</f>
        <v>626</v>
      </c>
      <c r="I11" s="45">
        <f t="shared" si="3"/>
        <v>1266.5</v>
      </c>
      <c r="J11" s="39">
        <f t="shared" si="1"/>
        <v>2154.1104294478532</v>
      </c>
      <c r="K11" s="19">
        <f t="shared" si="18"/>
        <v>600.49135274685648</v>
      </c>
      <c r="L11" s="36">
        <f t="shared" si="4"/>
        <v>2586.4642034255899</v>
      </c>
      <c r="M11" s="39">
        <f t="shared" si="5"/>
        <v>11.751183505970713</v>
      </c>
      <c r="N11" s="36">
        <f t="shared" si="6"/>
        <v>50.615242579340517</v>
      </c>
      <c r="O11" s="34">
        <f t="shared" si="2"/>
        <v>1.6779826001490485</v>
      </c>
      <c r="P11" s="26">
        <f t="shared" si="7"/>
        <v>5.8830678590378138</v>
      </c>
      <c r="Q11" s="48">
        <f t="shared" si="8"/>
        <v>2.5946731184838292</v>
      </c>
      <c r="R11" s="58">
        <f t="shared" si="9"/>
        <v>-886.33347239263844</v>
      </c>
      <c r="S11" s="62">
        <f t="shared" si="10"/>
        <v>-138.38149451875699</v>
      </c>
      <c r="T11" s="59">
        <f t="shared" si="11"/>
        <v>-295.44449079754617</v>
      </c>
      <c r="U11" s="58">
        <f t="shared" si="12"/>
        <v>93.964661466285179</v>
      </c>
      <c r="V11" s="62">
        <f t="shared" si="13"/>
        <v>15.010329307713288</v>
      </c>
      <c r="W11" s="59">
        <f t="shared" si="14"/>
        <v>31.321553822095058</v>
      </c>
      <c r="X11" s="58">
        <f t="shared" si="15"/>
        <v>349.85708630597094</v>
      </c>
      <c r="Y11" s="62">
        <f t="shared" si="16"/>
        <v>27.623931015078636</v>
      </c>
      <c r="Z11" s="59">
        <f t="shared" si="17"/>
        <v>116.61902876865697</v>
      </c>
    </row>
    <row r="12" spans="1:26">
      <c r="A12" s="7">
        <v>4</v>
      </c>
      <c r="B12" s="119">
        <f>IF('Energy Savings Calculator'!$C$4="Tertiary",IF($C$3="Pumps",VLOOKUP(A12,'Op Data'!$A$3:$Y$28,2,FALSE),IF($C$3="Fans",VLOOKUP(A12,'Op Data'!$A$3:$Y$28,3,FALSE),IF($C$3="Air Compressors",VLOOKUP(A12,'Op Data'!$A$3:$Y$28,4,FALSE),IF($C$3="Conveyors",VLOOKUP(A12,'Op Data'!$A$3:$Y$28,5,FALSE),IF($C$3="Refrigeration",VLOOKUP(A12,'Op Data'!$A$3:$Y$28,6,FALSE),))))),IF($C$3="Pumps",VLOOKUP($A12,'Op Data'!$A$3:$Y$28,16,FALSE),IF($C$3="Fans",VLOOKUP($A12,'Op Data'!$A$3:$Y$28,17,FALSE),IF($C$3="Air Compressors",VLOOKUP($A12,'Op Data'!$A$3:$Y$28,18,FALSE),IF($C$3="Conveyors",VLOOKUP($A12,'Op Data'!$A$3:$Y$28,19,FALSE),IF($C$3="Refrigeration",VLOOKUP($A12,'Op Data'!$A$3:$Y$28,20,FALSE),))))))</f>
        <v>3050</v>
      </c>
      <c r="C12" s="4">
        <v>83.1</v>
      </c>
      <c r="D12" s="110">
        <f>IF($E$3="High Efficiency (IE2)",VLOOKUP($A12,'Op Data'!$A$3:$N$28,12,FALSE),IF($E$3="Premium Efficiency (IE3)",VLOOKUP($A12,'Op Data'!$A$3:$N$28,13,FALSE),IF($E$3="C",VLOOKUP($A12,'Op Data'!$A$3:$N$28,14,FALSE),)))</f>
        <v>89.2</v>
      </c>
      <c r="E12" s="111">
        <f>IF('Energy Savings Calculator'!$C$4="Tertiary",IF($C$3="Pumps",VLOOKUP($A12,'Op Data'!$A$3:$K$28,7,FALSE),IF($C$3="Fans",VLOOKUP($A12,'Op Data'!$A$3:$K$28,8,FALSE),IF($C$3="Air Compressors",VLOOKUP($A12,'Op Data'!$A$3:$K$28,9,FALSE),IF($C$3="Conveyors",VLOOKUP($A12,'Op Data'!$A$3:$K$28,10,FALSE),IF($C$3="Refrigeration",VLOOKUP($A12,'Op Data'!$A$3:$K$28,11,FALSE),))))),IF($C$3="Pumps",VLOOKUP($A12,'Op Data'!$A$3:$Y$28,21,FALSE),IF($C$3="Fans",VLOOKUP($A12,'Op Data'!$A$3:$Y$28,22,FALSE),IF($C$3="Air Compressors",VLOOKUP($A12,'Op Data'!$A$3:$Y$28,23,FALSE),IF($C$3="Conveyors",VLOOKUP($A12,'Op Data'!$A$3:$Y$28,24,FALSE),IF($C$3="Refrigeration",VLOOKUP($A12,'Op Data'!$A$3:$Y$28,25,FALSE),))))))</f>
        <v>0.6</v>
      </c>
      <c r="F12" s="43">
        <f t="shared" si="0"/>
        <v>0.1772</v>
      </c>
      <c r="G12" s="44">
        <f>'Motor €'!P10</f>
        <v>672</v>
      </c>
      <c r="H12" s="8">
        <f>'Motor €'!Q10</f>
        <v>740</v>
      </c>
      <c r="I12" s="45">
        <f t="shared" si="3"/>
        <v>1412</v>
      </c>
      <c r="J12" s="39">
        <f t="shared" si="1"/>
        <v>2466.4259927797839</v>
      </c>
      <c r="K12" s="19">
        <f t="shared" si="18"/>
        <v>602.38623302196947</v>
      </c>
      <c r="L12" s="36">
        <f t="shared" si="4"/>
        <v>2900.1440805556017</v>
      </c>
      <c r="M12" s="39">
        <f t="shared" si="5"/>
        <v>9.9029123023477137</v>
      </c>
      <c r="N12" s="36">
        <f t="shared" si="6"/>
        <v>47.676840736942161</v>
      </c>
      <c r="O12" s="34">
        <f t="shared" si="2"/>
        <v>1.5375790992857934</v>
      </c>
      <c r="P12" s="26">
        <f t="shared" si="7"/>
        <v>6.9325492613153319</v>
      </c>
      <c r="Q12" s="48">
        <f t="shared" si="8"/>
        <v>2.5965737571690548</v>
      </c>
      <c r="R12" s="58">
        <f t="shared" si="9"/>
        <v>-1076.2027436823107</v>
      </c>
      <c r="S12" s="62">
        <f t="shared" si="10"/>
        <v>-160.14921780986765</v>
      </c>
      <c r="T12" s="59">
        <f t="shared" si="11"/>
        <v>-269.05068592057768</v>
      </c>
      <c r="U12" s="58">
        <f t="shared" si="12"/>
        <v>206.28579754253508</v>
      </c>
      <c r="V12" s="62">
        <f t="shared" si="13"/>
        <v>27.876459127369607</v>
      </c>
      <c r="W12" s="59">
        <f t="shared" si="14"/>
        <v>51.57144938563377</v>
      </c>
      <c r="X12" s="58">
        <f t="shared" si="15"/>
        <v>384.18893785109481</v>
      </c>
      <c r="Y12" s="62">
        <f t="shared" si="16"/>
        <v>27.208848289737592</v>
      </c>
      <c r="Z12" s="59">
        <f t="shared" si="17"/>
        <v>96.047234462773702</v>
      </c>
    </row>
    <row r="13" spans="1:26">
      <c r="A13" s="7">
        <v>5.5</v>
      </c>
      <c r="B13" s="119">
        <f>IF('Energy Savings Calculator'!$C$4="Tertiary",IF($C$3="Pumps",VLOOKUP(A13,'Op Data'!$A$3:$Y$28,2,FALSE),IF($C$3="Fans",VLOOKUP(A13,'Op Data'!$A$3:$Y$28,3,FALSE),IF($C$3="Air Compressors",VLOOKUP(A13,'Op Data'!$A$3:$Y$28,4,FALSE),IF($C$3="Conveyors",VLOOKUP(A13,'Op Data'!$A$3:$Y$28,5,FALSE),IF($C$3="Refrigeration",VLOOKUP(A13,'Op Data'!$A$3:$Y$28,6,FALSE),))))),IF($C$3="Pumps",VLOOKUP($A13,'Op Data'!$A$3:$Y$28,16,FALSE),IF($C$3="Fans",VLOOKUP($A13,'Op Data'!$A$3:$Y$28,17,FALSE),IF($C$3="Air Compressors",VLOOKUP($A13,'Op Data'!$A$3:$Y$28,18,FALSE),IF($C$3="Conveyors",VLOOKUP($A13,'Op Data'!$A$3:$Y$28,19,FALSE),IF($C$3="Refrigeration",VLOOKUP($A13,'Op Data'!$A$3:$Y$28,20,FALSE),))))))</f>
        <v>3050</v>
      </c>
      <c r="C13" s="4">
        <v>84.7</v>
      </c>
      <c r="D13" s="110">
        <f>IF($E$3="High Efficiency (IE2)",VLOOKUP($A13,'Op Data'!$A$3:$N$28,12,FALSE),IF($E$3="Premium Efficiency (IE3)",VLOOKUP($A13,'Op Data'!$A$3:$N$28,13,FALSE),IF($E$3="C",VLOOKUP($A13,'Op Data'!$A$3:$N$28,14,FALSE),)))</f>
        <v>90</v>
      </c>
      <c r="E13" s="111">
        <f>IF('Energy Savings Calculator'!$C$4="Tertiary",IF($C$3="Pumps",VLOOKUP($A13,'Op Data'!$A$3:$K$28,7,FALSE),IF($C$3="Fans",VLOOKUP($A13,'Op Data'!$A$3:$K$28,8,FALSE),IF($C$3="Air Compressors",VLOOKUP($A13,'Op Data'!$A$3:$K$28,9,FALSE),IF($C$3="Conveyors",VLOOKUP($A13,'Op Data'!$A$3:$K$28,10,FALSE),IF($C$3="Refrigeration",VLOOKUP($A13,'Op Data'!$A$3:$K$28,11,FALSE),))))),IF($C$3="Pumps",VLOOKUP($A13,'Op Data'!$A$3:$Y$28,21,FALSE),IF($C$3="Fans",VLOOKUP($A13,'Op Data'!$A$3:$Y$28,22,FALSE),IF($C$3="Air Compressors",VLOOKUP($A13,'Op Data'!$A$3:$Y$28,23,FALSE),IF($C$3="Conveyors",VLOOKUP($A13,'Op Data'!$A$3:$Y$28,24,FALSE),IF($C$3="Refrigeration",VLOOKUP($A13,'Op Data'!$A$3:$Y$28,25,FALSE),))))))</f>
        <v>0.6</v>
      </c>
      <c r="F13" s="43">
        <f t="shared" si="0"/>
        <v>0.1772</v>
      </c>
      <c r="G13" s="44">
        <f>'Motor €'!P11</f>
        <v>713</v>
      </c>
      <c r="H13" s="8">
        <f>'Motor €'!Q11</f>
        <v>910</v>
      </c>
      <c r="I13" s="45">
        <f t="shared" si="3"/>
        <v>1623</v>
      </c>
      <c r="J13" s="39">
        <f t="shared" si="1"/>
        <v>3327.2727272727275</v>
      </c>
      <c r="K13" s="19">
        <f t="shared" si="18"/>
        <v>699.78354978354889</v>
      </c>
      <c r="L13" s="36">
        <f t="shared" si="4"/>
        <v>3831.1168831168825</v>
      </c>
      <c r="M13" s="39">
        <f t="shared" si="5"/>
        <v>8.2085517311448317</v>
      </c>
      <c r="N13" s="36">
        <f t="shared" si="6"/>
        <v>44.939497552999754</v>
      </c>
      <c r="O13" s="34">
        <f t="shared" si="2"/>
        <v>1.209309353760377</v>
      </c>
      <c r="P13" s="26">
        <f t="shared" si="7"/>
        <v>7.3386123211603911</v>
      </c>
      <c r="Q13" s="48">
        <f t="shared" si="8"/>
        <v>2.2744013448167713</v>
      </c>
      <c r="R13" s="58">
        <f t="shared" si="9"/>
        <v>-1645.3709090909092</v>
      </c>
      <c r="S13" s="62">
        <f t="shared" si="10"/>
        <v>-230.76730842789752</v>
      </c>
      <c r="T13" s="59">
        <f t="shared" si="11"/>
        <v>-299.15834710743803</v>
      </c>
      <c r="U13" s="58">
        <f t="shared" si="12"/>
        <v>289.99177489177566</v>
      </c>
      <c r="V13" s="62">
        <f t="shared" si="13"/>
        <v>31.867228010085235</v>
      </c>
      <c r="W13" s="59">
        <f t="shared" si="14"/>
        <v>52.725777253050119</v>
      </c>
      <c r="X13" s="58">
        <f t="shared" si="15"/>
        <v>265.25217662337695</v>
      </c>
      <c r="Y13" s="62">
        <f t="shared" si="16"/>
        <v>16.343325731569745</v>
      </c>
      <c r="Z13" s="59">
        <f t="shared" si="17"/>
        <v>48.227668476977627</v>
      </c>
    </row>
    <row r="14" spans="1:26">
      <c r="A14" s="7">
        <v>7.5</v>
      </c>
      <c r="B14" s="119">
        <f>IF('Energy Savings Calculator'!$C$4="Tertiary",IF($C$3="Pumps",VLOOKUP(A14,'Op Data'!$A$3:$Y$28,2,FALSE),IF($C$3="Fans",VLOOKUP(A14,'Op Data'!$A$3:$Y$28,3,FALSE),IF($C$3="Air Compressors",VLOOKUP(A14,'Op Data'!$A$3:$Y$28,4,FALSE),IF($C$3="Conveyors",VLOOKUP(A14,'Op Data'!$A$3:$Y$28,5,FALSE),IF($C$3="Refrigeration",VLOOKUP(A14,'Op Data'!$A$3:$Y$28,6,FALSE),))))),IF($C$3="Pumps",VLOOKUP($A14,'Op Data'!$A$3:$Y$28,16,FALSE),IF($C$3="Fans",VLOOKUP($A14,'Op Data'!$A$3:$Y$28,17,FALSE),IF($C$3="Air Compressors",VLOOKUP($A14,'Op Data'!$A$3:$Y$28,18,FALSE),IF($C$3="Conveyors",VLOOKUP($A14,'Op Data'!$A$3:$Y$28,19,FALSE),IF($C$3="Refrigeration",VLOOKUP($A14,'Op Data'!$A$3:$Y$28,20,FALSE),))))))</f>
        <v>3050</v>
      </c>
      <c r="C14" s="4">
        <v>86.1</v>
      </c>
      <c r="D14" s="110">
        <f>IF($E$3="High Efficiency (IE2)",VLOOKUP($A14,'Op Data'!$A$3:$N$28,12,FALSE),IF($E$3="Premium Efficiency (IE3)",VLOOKUP($A14,'Op Data'!$A$3:$N$28,13,FALSE),IF($E$3="C",VLOOKUP($A14,'Op Data'!$A$3:$N$28,14,FALSE),)))</f>
        <v>90.8</v>
      </c>
      <c r="E14" s="111">
        <f>IF('Energy Savings Calculator'!$C$4="Tertiary",IF($C$3="Pumps",VLOOKUP($A14,'Op Data'!$A$3:$K$28,7,FALSE),IF($C$3="Fans",VLOOKUP($A14,'Op Data'!$A$3:$K$28,8,FALSE),IF($C$3="Air Compressors",VLOOKUP($A14,'Op Data'!$A$3:$K$28,9,FALSE),IF($C$3="Conveyors",VLOOKUP($A14,'Op Data'!$A$3:$K$28,10,FALSE),IF($C$3="Refrigeration",VLOOKUP($A14,'Op Data'!$A$3:$K$28,11,FALSE),))))),IF($C$3="Pumps",VLOOKUP($A14,'Op Data'!$A$3:$Y$28,21,FALSE),IF($C$3="Fans",VLOOKUP($A14,'Op Data'!$A$3:$Y$28,22,FALSE),IF($C$3="Air Compressors",VLOOKUP($A14,'Op Data'!$A$3:$Y$28,23,FALSE),IF($C$3="Conveyors",VLOOKUP($A14,'Op Data'!$A$3:$Y$28,24,FALSE),IF($C$3="Refrigeration",VLOOKUP($A14,'Op Data'!$A$3:$Y$28,25,FALSE),))))))</f>
        <v>0.6</v>
      </c>
      <c r="F14" s="43">
        <f t="shared" si="0"/>
        <v>0.1772</v>
      </c>
      <c r="G14" s="44">
        <f>'Motor €'!P12</f>
        <v>876.5</v>
      </c>
      <c r="H14" s="8">
        <f>'Motor €'!Q12</f>
        <v>1015</v>
      </c>
      <c r="I14" s="45">
        <f t="shared" si="3"/>
        <v>1891.5</v>
      </c>
      <c r="J14" s="39">
        <f t="shared" si="1"/>
        <v>4463.414634146342</v>
      </c>
      <c r="K14" s="19">
        <f t="shared" si="18"/>
        <v>825.12778400282275</v>
      </c>
      <c r="L14" s="36">
        <f t="shared" si="4"/>
        <v>5057.5066386283734</v>
      </c>
      <c r="M14" s="39">
        <f t="shared" si="5"/>
        <v>6.9824157871481898</v>
      </c>
      <c r="N14" s="36">
        <f t="shared" si="6"/>
        <v>42.797751914077743</v>
      </c>
      <c r="O14" s="34">
        <f t="shared" si="2"/>
        <v>1.108207206207058</v>
      </c>
      <c r="P14" s="26">
        <f t="shared" si="7"/>
        <v>6.9419441227239451</v>
      </c>
      <c r="Q14" s="48">
        <f t="shared" si="8"/>
        <v>2.0183972044685548</v>
      </c>
      <c r="R14" s="58">
        <f t="shared" si="9"/>
        <v>-2287.1682926829271</v>
      </c>
      <c r="S14" s="62">
        <f t="shared" si="10"/>
        <v>-260.94333059702535</v>
      </c>
      <c r="T14" s="59">
        <f t="shared" si="11"/>
        <v>-304.95577235772362</v>
      </c>
      <c r="U14" s="58">
        <f t="shared" si="12"/>
        <v>283.93678337349911</v>
      </c>
      <c r="V14" s="62">
        <f t="shared" si="13"/>
        <v>27.974067327438334</v>
      </c>
      <c r="W14" s="59">
        <f t="shared" si="14"/>
        <v>37.858237783133212</v>
      </c>
      <c r="X14" s="58">
        <f t="shared" si="15"/>
        <v>99.119647270104451</v>
      </c>
      <c r="Y14" s="62">
        <f t="shared" si="16"/>
        <v>5.2402668395508565</v>
      </c>
      <c r="Z14" s="59">
        <f t="shared" si="17"/>
        <v>13.21595296934726</v>
      </c>
    </row>
    <row r="15" spans="1:26">
      <c r="A15" s="7">
        <v>11</v>
      </c>
      <c r="B15" s="119">
        <f>IF('Energy Savings Calculator'!$C$4="Tertiary",IF($C$3="Pumps",VLOOKUP(A15,'Op Data'!$A$3:$Y$28,2,FALSE),IF($C$3="Fans",VLOOKUP(A15,'Op Data'!$A$3:$Y$28,3,FALSE),IF($C$3="Air Compressors",VLOOKUP(A15,'Op Data'!$A$3:$Y$28,4,FALSE),IF($C$3="Conveyors",VLOOKUP(A15,'Op Data'!$A$3:$Y$28,5,FALSE),IF($C$3="Refrigeration",VLOOKUP(A15,'Op Data'!$A$3:$Y$28,6,FALSE),))))),IF($C$3="Pumps",VLOOKUP($A15,'Op Data'!$A$3:$Y$28,16,FALSE),IF($C$3="Fans",VLOOKUP($A15,'Op Data'!$A$3:$Y$28,17,FALSE),IF($C$3="Air Compressors",VLOOKUP($A15,'Op Data'!$A$3:$Y$28,18,FALSE),IF($C$3="Conveyors",VLOOKUP($A15,'Op Data'!$A$3:$Y$28,19,FALSE),IF($C$3="Refrigeration",VLOOKUP($A15,'Op Data'!$A$3:$Y$28,20,FALSE),))))))</f>
        <v>3000</v>
      </c>
      <c r="C15" s="4">
        <v>87.6</v>
      </c>
      <c r="D15" s="110">
        <f>IF($E$3="High Efficiency (IE2)",VLOOKUP($A15,'Op Data'!$A$3:$N$28,12,FALSE),IF($E$3="Premium Efficiency (IE3)",VLOOKUP($A15,'Op Data'!$A$3:$N$28,13,FALSE),IF($E$3="C",VLOOKUP($A15,'Op Data'!$A$3:$N$28,14,FALSE),)))</f>
        <v>91.7</v>
      </c>
      <c r="E15" s="111">
        <f>IF('Energy Savings Calculator'!$C$4="Tertiary",IF($C$3="Pumps",VLOOKUP($A15,'Op Data'!$A$3:$K$28,7,FALSE),IF($C$3="Fans",VLOOKUP($A15,'Op Data'!$A$3:$K$28,8,FALSE),IF($C$3="Air Compressors",VLOOKUP($A15,'Op Data'!$A$3:$K$28,9,FALSE),IF($C$3="Conveyors",VLOOKUP($A15,'Op Data'!$A$3:$K$28,10,FALSE),IF($C$3="Refrigeration",VLOOKUP($A15,'Op Data'!$A$3:$K$28,11,FALSE),))))),IF($C$3="Pumps",VLOOKUP($A15,'Op Data'!$A$3:$Y$28,21,FALSE),IF($C$3="Fans",VLOOKUP($A15,'Op Data'!$A$3:$Y$28,22,FALSE),IF($C$3="Air Compressors",VLOOKUP($A15,'Op Data'!$A$3:$Y$28,23,FALSE),IF($C$3="Conveyors",VLOOKUP($A15,'Op Data'!$A$3:$Y$28,24,FALSE),IF($C$3="Refrigeration",VLOOKUP($A15,'Op Data'!$A$3:$Y$28,25,FALSE),))))))</f>
        <v>0.6</v>
      </c>
      <c r="F15" s="43">
        <f t="shared" si="0"/>
        <v>0.1772</v>
      </c>
      <c r="G15" s="44">
        <f>'Motor €'!P13</f>
        <v>1039</v>
      </c>
      <c r="H15" s="8">
        <f>'Motor €'!Q13</f>
        <v>1144.5</v>
      </c>
      <c r="I15" s="45">
        <f t="shared" si="3"/>
        <v>2183.5</v>
      </c>
      <c r="J15" s="39">
        <f t="shared" si="1"/>
        <v>6328.7671232876719</v>
      </c>
      <c r="K15" s="19">
        <f t="shared" si="18"/>
        <v>1010.5914163218376</v>
      </c>
      <c r="L15" s="36">
        <f t="shared" si="4"/>
        <v>7056.3929430393955</v>
      </c>
      <c r="M15" s="39">
        <f t="shared" si="5"/>
        <v>5.8264806531170024</v>
      </c>
      <c r="N15" s="36">
        <f t="shared" si="6"/>
        <v>40.683045887178849</v>
      </c>
      <c r="O15" s="34">
        <f t="shared" si="2"/>
        <v>0.9264728875338355</v>
      </c>
      <c r="P15" s="26">
        <f t="shared" si="7"/>
        <v>6.3911126766202893</v>
      </c>
      <c r="Q15" s="48">
        <f t="shared" si="8"/>
        <v>1.6789253034142255</v>
      </c>
      <c r="R15" s="58">
        <f t="shared" si="9"/>
        <v>-3446.830136986302</v>
      </c>
      <c r="S15" s="62">
        <f t="shared" si="10"/>
        <v>-331.74496024892221</v>
      </c>
      <c r="T15" s="59">
        <f t="shared" si="11"/>
        <v>-313.34819427148199</v>
      </c>
      <c r="U15" s="58">
        <f t="shared" si="12"/>
        <v>249.11600513885185</v>
      </c>
      <c r="V15" s="62">
        <f t="shared" si="13"/>
        <v>21.766361305273207</v>
      </c>
      <c r="W15" s="59">
        <f t="shared" si="14"/>
        <v>22.646909558077439</v>
      </c>
      <c r="X15" s="58">
        <f t="shared" si="15"/>
        <v>-317.28565901316188</v>
      </c>
      <c r="Y15" s="62">
        <f t="shared" si="16"/>
        <v>-14.531058347293879</v>
      </c>
      <c r="Z15" s="59">
        <f t="shared" si="17"/>
        <v>-28.844150819378353</v>
      </c>
    </row>
    <row r="16" spans="1:26">
      <c r="A16" s="7">
        <v>15</v>
      </c>
      <c r="B16" s="119">
        <f>IF('Energy Savings Calculator'!$C$4="Tertiary",IF($C$3="Pumps",VLOOKUP(A16,'Op Data'!$A$3:$Y$28,2,FALSE),IF($C$3="Fans",VLOOKUP(A16,'Op Data'!$A$3:$Y$28,3,FALSE),IF($C$3="Air Compressors",VLOOKUP(A16,'Op Data'!$A$3:$Y$28,4,FALSE),IF($C$3="Conveyors",VLOOKUP(A16,'Op Data'!$A$3:$Y$28,5,FALSE),IF($C$3="Refrigeration",VLOOKUP(A16,'Op Data'!$A$3:$Y$28,6,FALSE),))))),IF($C$3="Pumps",VLOOKUP($A16,'Op Data'!$A$3:$Y$28,16,FALSE),IF($C$3="Fans",VLOOKUP($A16,'Op Data'!$A$3:$Y$28,17,FALSE),IF($C$3="Air Compressors",VLOOKUP($A16,'Op Data'!$A$3:$Y$28,18,FALSE),IF($C$3="Conveyors",VLOOKUP($A16,'Op Data'!$A$3:$Y$28,19,FALSE),IF($C$3="Refrigeration",VLOOKUP($A16,'Op Data'!$A$3:$Y$28,20,FALSE),))))))</f>
        <v>3000</v>
      </c>
      <c r="C16" s="4">
        <v>88.7</v>
      </c>
      <c r="D16" s="110">
        <f>IF($E$3="High Efficiency (IE2)",VLOOKUP($A16,'Op Data'!$A$3:$N$28,12,FALSE),IF($E$3="Premium Efficiency (IE3)",VLOOKUP($A16,'Op Data'!$A$3:$N$28,13,FALSE),IF($E$3="C",VLOOKUP($A16,'Op Data'!$A$3:$N$28,14,FALSE),)))</f>
        <v>92.3</v>
      </c>
      <c r="E16" s="111">
        <f>IF('Energy Savings Calculator'!$C$4="Tertiary",IF($C$3="Pumps",VLOOKUP($A16,'Op Data'!$A$3:$K$28,7,FALSE),IF($C$3="Fans",VLOOKUP($A16,'Op Data'!$A$3:$K$28,8,FALSE),IF($C$3="Air Compressors",VLOOKUP($A16,'Op Data'!$A$3:$K$28,9,FALSE),IF($C$3="Conveyors",VLOOKUP($A16,'Op Data'!$A$3:$K$28,10,FALSE),IF($C$3="Refrigeration",VLOOKUP($A16,'Op Data'!$A$3:$K$28,11,FALSE),))))),IF($C$3="Pumps",VLOOKUP($A16,'Op Data'!$A$3:$Y$28,21,FALSE),IF($C$3="Fans",VLOOKUP($A16,'Op Data'!$A$3:$Y$28,22,FALSE),IF($C$3="Air Compressors",VLOOKUP($A16,'Op Data'!$A$3:$Y$28,23,FALSE),IF($C$3="Conveyors",VLOOKUP($A16,'Op Data'!$A$3:$Y$28,24,FALSE),IF($C$3="Refrigeration",VLOOKUP($A16,'Op Data'!$A$3:$Y$28,25,FALSE),))))))</f>
        <v>0.6</v>
      </c>
      <c r="F16" s="43">
        <f t="shared" si="0"/>
        <v>0.1772</v>
      </c>
      <c r="G16" s="44">
        <f>'Motor €'!P14</f>
        <v>1284.5</v>
      </c>
      <c r="H16" s="8">
        <f>'Motor €'!Q14</f>
        <v>1355</v>
      </c>
      <c r="I16" s="45">
        <f t="shared" si="3"/>
        <v>2639.5</v>
      </c>
      <c r="J16" s="39">
        <f t="shared" si="1"/>
        <v>8523.1116121758751</v>
      </c>
      <c r="K16" s="19">
        <f t="shared" si="18"/>
        <v>1187.2466260576186</v>
      </c>
      <c r="L16" s="36">
        <f t="shared" si="4"/>
        <v>9377.9291829373597</v>
      </c>
      <c r="M16" s="39">
        <f t="shared" si="5"/>
        <v>4.9573954071469313</v>
      </c>
      <c r="N16" s="36">
        <f t="shared" si="6"/>
        <v>39.157915499341769</v>
      </c>
      <c r="O16" s="34">
        <f t="shared" si="2"/>
        <v>0.85049588245129992</v>
      </c>
      <c r="P16" s="26">
        <f t="shared" si="7"/>
        <v>6.440723177874399</v>
      </c>
      <c r="Q16" s="48">
        <f t="shared" si="8"/>
        <v>1.5339905932080968</v>
      </c>
      <c r="R16" s="58">
        <f t="shared" si="9"/>
        <v>-4756.6815107102602</v>
      </c>
      <c r="S16" s="62">
        <f t="shared" si="10"/>
        <v>-370.31385836592136</v>
      </c>
      <c r="T16" s="59">
        <f t="shared" si="11"/>
        <v>-317.11210071401734</v>
      </c>
      <c r="U16" s="58">
        <f t="shared" si="12"/>
        <v>303.09948931295003</v>
      </c>
      <c r="V16" s="62">
        <f t="shared" si="13"/>
        <v>22.368966000955723</v>
      </c>
      <c r="W16" s="59">
        <f t="shared" si="14"/>
        <v>20.206632620863335</v>
      </c>
      <c r="X16" s="58">
        <f t="shared" si="15"/>
        <v>-684.0381024330004</v>
      </c>
      <c r="Y16" s="62">
        <f t="shared" si="16"/>
        <v>-25.915442410797514</v>
      </c>
      <c r="Z16" s="59">
        <f t="shared" si="17"/>
        <v>-45.602540162200029</v>
      </c>
    </row>
    <row r="17" spans="1:26" ht="15.75" thickBot="1">
      <c r="A17" s="7">
        <v>18.5</v>
      </c>
      <c r="B17" s="119">
        <f>IF('Energy Savings Calculator'!$C$4="Tertiary",IF($C$3="Pumps",VLOOKUP(A17,'Op Data'!$A$3:$Y$28,2,FALSE),IF($C$3="Fans",VLOOKUP(A17,'Op Data'!$A$3:$Y$28,3,FALSE),IF($C$3="Air Compressors",VLOOKUP(A17,'Op Data'!$A$3:$Y$28,4,FALSE),IF($C$3="Conveyors",VLOOKUP(A17,'Op Data'!$A$3:$Y$28,5,FALSE),IF($C$3="Refrigeration",VLOOKUP(A17,'Op Data'!$A$3:$Y$28,6,FALSE),))))),IF($C$3="Pumps",VLOOKUP($A17,'Op Data'!$A$3:$Y$28,16,FALSE),IF($C$3="Fans",VLOOKUP($A17,'Op Data'!$A$3:$Y$28,17,FALSE),IF($C$3="Air Compressors",VLOOKUP($A17,'Op Data'!$A$3:$Y$28,18,FALSE),IF($C$3="Conveyors",VLOOKUP($A17,'Op Data'!$A$3:$Y$28,19,FALSE),IF($C$3="Refrigeration",VLOOKUP($A17,'Op Data'!$A$3:$Y$28,20,FALSE),))))))</f>
        <v>3000</v>
      </c>
      <c r="C17" s="4">
        <v>89.4</v>
      </c>
      <c r="D17" s="110">
        <f>IF($E$3="High Efficiency (IE2)",VLOOKUP($A17,'Op Data'!$A$3:$N$28,12,FALSE),IF($E$3="Premium Efficiency (IE3)",VLOOKUP($A17,'Op Data'!$A$3:$N$28,13,FALSE),IF($E$3="C",VLOOKUP($A17,'Op Data'!$A$3:$N$28,14,FALSE),)))</f>
        <v>92.7</v>
      </c>
      <c r="E17" s="111">
        <f>IF('Energy Savings Calculator'!$C$4="Tertiary",IF($C$3="Pumps",VLOOKUP($A17,'Op Data'!$A$3:$K$28,7,FALSE),IF($C$3="Fans",VLOOKUP($A17,'Op Data'!$A$3:$K$28,8,FALSE),IF($C$3="Air Compressors",VLOOKUP($A17,'Op Data'!$A$3:$K$28,9,FALSE),IF($C$3="Conveyors",VLOOKUP($A17,'Op Data'!$A$3:$K$28,10,FALSE),IF($C$3="Refrigeration",VLOOKUP($A17,'Op Data'!$A$3:$K$28,11,FALSE),))))),IF($C$3="Pumps",VLOOKUP($A17,'Op Data'!$A$3:$Y$28,21,FALSE),IF($C$3="Fans",VLOOKUP($A17,'Op Data'!$A$3:$Y$28,22,FALSE),IF($C$3="Air Compressors",VLOOKUP($A17,'Op Data'!$A$3:$Y$28,23,FALSE),IF($C$3="Conveyors",VLOOKUP($A17,'Op Data'!$A$3:$Y$28,24,FALSE),IF($C$3="Refrigeration",VLOOKUP($A17,'Op Data'!$A$3:$Y$28,25,FALSE),))))))</f>
        <v>0.6</v>
      </c>
      <c r="F17" s="43">
        <f t="shared" si="0"/>
        <v>0.1772</v>
      </c>
      <c r="G17" s="44">
        <f>'Motor €'!P15</f>
        <v>1546.5</v>
      </c>
      <c r="H17" s="8">
        <f>'Motor €'!Q15</f>
        <v>1649.5</v>
      </c>
      <c r="I17" s="45">
        <f t="shared" si="3"/>
        <v>3196</v>
      </c>
      <c r="J17" s="70">
        <f t="shared" si="1"/>
        <v>10429.530201342281</v>
      </c>
      <c r="K17" s="71">
        <f t="shared" si="18"/>
        <v>1325.9920505636289</v>
      </c>
      <c r="L17" s="72">
        <f t="shared" si="4"/>
        <v>11384.244477748098</v>
      </c>
      <c r="M17" s="70">
        <f t="shared" si="5"/>
        <v>4.4540918454146396</v>
      </c>
      <c r="N17" s="72">
        <f t="shared" si="6"/>
        <v>38.240403080087134</v>
      </c>
      <c r="O17" s="73">
        <f t="shared" si="2"/>
        <v>0.83679959385377001</v>
      </c>
      <c r="P17" s="74">
        <f t="shared" si="7"/>
        <v>7.0201708531843927</v>
      </c>
      <c r="Q17" s="75">
        <f t="shared" si="8"/>
        <v>1.5342676399226471</v>
      </c>
      <c r="R17" s="76">
        <f t="shared" si="9"/>
        <v>-5845.9510067114088</v>
      </c>
      <c r="S17" s="77">
        <f t="shared" si="10"/>
        <v>-378.01170428137141</v>
      </c>
      <c r="T17" s="78">
        <f t="shared" si="11"/>
        <v>-315.99735171413022</v>
      </c>
      <c r="U17" s="76">
        <f t="shared" si="12"/>
        <v>474.67104320062481</v>
      </c>
      <c r="V17" s="77">
        <f t="shared" si="13"/>
        <v>28.776662212829635</v>
      </c>
      <c r="W17" s="78">
        <f t="shared" si="14"/>
        <v>25.657894227060801</v>
      </c>
      <c r="X17" s="76">
        <f t="shared" si="15"/>
        <v>-838.57624291392585</v>
      </c>
      <c r="Y17" s="77">
        <f t="shared" si="16"/>
        <v>-26.238305472901306</v>
      </c>
      <c r="Z17" s="78">
        <f t="shared" si="17"/>
        <v>-45.328445562914908</v>
      </c>
    </row>
    <row r="18" spans="1:26">
      <c r="A18" s="7">
        <v>22</v>
      </c>
      <c r="B18" s="119">
        <f>IF('Energy Savings Calculator'!$C$4="Tertiary",IF($C$3="Pumps",VLOOKUP(A18,'Op Data'!$A$3:$Y$28,2,FALSE),IF($C$3="Fans",VLOOKUP(A18,'Op Data'!$A$3:$Y$28,3,FALSE),IF($C$3="Air Compressors",VLOOKUP(A18,'Op Data'!$A$3:$Y$28,4,FALSE),IF($C$3="Conveyors",VLOOKUP(A18,'Op Data'!$A$3:$Y$28,5,FALSE),IF($C$3="Refrigeration",VLOOKUP(A18,'Op Data'!$A$3:$Y$28,6,FALSE),))))),IF($C$3="Pumps",VLOOKUP($A18,'Op Data'!$A$3:$Y$28,16,FALSE),IF($C$3="Fans",VLOOKUP($A18,'Op Data'!$A$3:$Y$28,17,FALSE),IF($C$3="Air Compressors",VLOOKUP($A18,'Op Data'!$A$3:$Y$28,18,FALSE),IF($C$3="Conveyors",VLOOKUP($A18,'Op Data'!$A$3:$Y$28,19,FALSE),IF($C$3="Refrigeration",VLOOKUP($A18,'Op Data'!$A$3:$Y$28,20,FALSE),))))))</f>
        <v>3000</v>
      </c>
      <c r="C18" s="4">
        <v>89.9</v>
      </c>
      <c r="D18" s="110">
        <f>IF($E$3="High Efficiency (IE2)",VLOOKUP($A18,'Op Data'!$A$3:$N$28,12,FALSE),IF($E$3="Premium Efficiency (IE3)",VLOOKUP($A18,'Op Data'!$A$3:$N$28,13,FALSE),IF($E$3="C",VLOOKUP($A18,'Op Data'!$A$3:$N$28,14,FALSE),)))</f>
        <v>93.1</v>
      </c>
      <c r="E18" s="111">
        <f>IF('Energy Savings Calculator'!$C$4="Tertiary",IF($C$3="Pumps",VLOOKUP($A18,'Op Data'!$A$3:$K$28,7,FALSE),IF($C$3="Fans",VLOOKUP($A18,'Op Data'!$A$3:$K$28,8,FALSE),IF($C$3="Air Compressors",VLOOKUP($A18,'Op Data'!$A$3:$K$28,9,FALSE),IF($C$3="Conveyors",VLOOKUP($A18,'Op Data'!$A$3:$K$28,10,FALSE),IF($C$3="Refrigeration",VLOOKUP($A18,'Op Data'!$A$3:$K$28,11,FALSE),))))),IF($C$3="Pumps",VLOOKUP($A18,'Op Data'!$A$3:$Y$28,21,FALSE),IF($C$3="Fans",VLOOKUP($A18,'Op Data'!$A$3:$Y$28,22,FALSE),IF($C$3="Air Compressors",VLOOKUP($A18,'Op Data'!$A$3:$Y$28,23,FALSE),IF($C$3="Conveyors",VLOOKUP($A18,'Op Data'!$A$3:$Y$28,24,FALSE),IF($C$3="Refrigeration",VLOOKUP($A18,'Op Data'!$A$3:$Y$28,25,FALSE),))))))</f>
        <v>0.6</v>
      </c>
      <c r="F18" s="43">
        <f t="shared" si="0"/>
        <v>0.1772</v>
      </c>
      <c r="G18" s="44">
        <f>'Motor €'!P16</f>
        <v>1959</v>
      </c>
      <c r="H18" s="8">
        <f>'Motor €'!Q16</f>
        <v>1952</v>
      </c>
      <c r="I18" s="68">
        <f t="shared" si="3"/>
        <v>3911</v>
      </c>
      <c r="J18" s="79">
        <f t="shared" si="1"/>
        <v>12333.704115684093</v>
      </c>
      <c r="K18" s="80">
        <f t="shared" si="18"/>
        <v>1514.0345699780953</v>
      </c>
      <c r="L18" s="81">
        <f t="shared" si="4"/>
        <v>13423.809006068321</v>
      </c>
      <c r="M18" s="82">
        <f t="shared" si="5"/>
        <v>4.2528583105192501</v>
      </c>
      <c r="N18" s="81">
        <f t="shared" si="6"/>
        <v>37.706904995641402</v>
      </c>
      <c r="O18" s="83">
        <f t="shared" si="2"/>
        <v>0.89634911270069273</v>
      </c>
      <c r="P18" s="84">
        <f t="shared" si="7"/>
        <v>7.275792490366439</v>
      </c>
      <c r="Q18" s="85">
        <f t="shared" si="8"/>
        <v>1.5938418969199881</v>
      </c>
      <c r="R18" s="86">
        <f t="shared" si="9"/>
        <v>-6783.129477196886</v>
      </c>
      <c r="S18" s="87">
        <f t="shared" si="10"/>
        <v>-346.2546951095909</v>
      </c>
      <c r="T18" s="88">
        <f t="shared" si="11"/>
        <v>-308.32406714531299</v>
      </c>
      <c r="U18" s="86">
        <f t="shared" si="12"/>
        <v>610.56537099940761</v>
      </c>
      <c r="V18" s="87">
        <f t="shared" si="13"/>
        <v>31.278963678248338</v>
      </c>
      <c r="W18" s="88">
        <f t="shared" si="14"/>
        <v>27.752971409063981</v>
      </c>
      <c r="X18" s="86">
        <f t="shared" si="15"/>
        <v>-846.39791175061237</v>
      </c>
      <c r="Y18" s="87">
        <f t="shared" si="16"/>
        <v>-21.641470512672267</v>
      </c>
      <c r="Z18" s="88">
        <f t="shared" si="17"/>
        <v>-38.472632352300565</v>
      </c>
    </row>
    <row r="19" spans="1:26">
      <c r="A19" s="7">
        <v>30</v>
      </c>
      <c r="B19" s="119">
        <f>IF('Energy Savings Calculator'!$C$4="Tertiary",IF($C$3="Pumps",VLOOKUP(A19,'Op Data'!$A$3:$Y$28,2,FALSE),IF($C$3="Fans",VLOOKUP(A19,'Op Data'!$A$3:$Y$28,3,FALSE),IF($C$3="Air Compressors",VLOOKUP(A19,'Op Data'!$A$3:$Y$28,4,FALSE),IF($C$3="Conveyors",VLOOKUP(A19,'Op Data'!$A$3:$Y$28,5,FALSE),IF($C$3="Refrigeration",VLOOKUP(A19,'Op Data'!$A$3:$Y$28,6,FALSE),))))),IF($C$3="Pumps",VLOOKUP($A19,'Op Data'!$A$3:$Y$28,16,FALSE),IF($C$3="Fans",VLOOKUP($A19,'Op Data'!$A$3:$Y$28,17,FALSE),IF($C$3="Air Compressors",VLOOKUP($A19,'Op Data'!$A$3:$Y$28,18,FALSE),IF($C$3="Conveyors",VLOOKUP($A19,'Op Data'!$A$3:$Y$28,19,FALSE),IF($C$3="Refrigeration",VLOOKUP($A19,'Op Data'!$A$3:$Y$28,20,FALSE),))))))</f>
        <v>3000</v>
      </c>
      <c r="C19" s="4">
        <v>90.8</v>
      </c>
      <c r="D19" s="110">
        <f>IF($E$3="High Efficiency (IE2)",VLOOKUP($A19,'Op Data'!$A$3:$N$28,12,FALSE),IF($E$3="Premium Efficiency (IE3)",VLOOKUP($A19,'Op Data'!$A$3:$N$28,13,FALSE),IF($E$3="C",VLOOKUP($A19,'Op Data'!$A$3:$N$28,14,FALSE),)))</f>
        <v>93.6</v>
      </c>
      <c r="E19" s="111">
        <f>IF('Energy Savings Calculator'!$C$4="Tertiary",IF($C$3="Pumps",VLOOKUP($A19,'Op Data'!$A$3:$K$28,7,FALSE),IF($C$3="Fans",VLOOKUP($A19,'Op Data'!$A$3:$K$28,8,FALSE),IF($C$3="Air Compressors",VLOOKUP($A19,'Op Data'!$A$3:$K$28,9,FALSE),IF($C$3="Conveyors",VLOOKUP($A19,'Op Data'!$A$3:$K$28,10,FALSE),IF($C$3="Refrigeration",VLOOKUP($A19,'Op Data'!$A$3:$K$28,11,FALSE),))))),IF($C$3="Pumps",VLOOKUP($A19,'Op Data'!$A$3:$Y$28,21,FALSE),IF($C$3="Fans",VLOOKUP($A19,'Op Data'!$A$3:$Y$28,22,FALSE),IF($C$3="Air Compressors",VLOOKUP($A19,'Op Data'!$A$3:$Y$28,23,FALSE),IF($C$3="Conveyors",VLOOKUP($A19,'Op Data'!$A$3:$Y$28,24,FALSE),IF($C$3="Refrigeration",VLOOKUP($A19,'Op Data'!$A$3:$Y$28,25,FALSE),))))))</f>
        <v>0.6</v>
      </c>
      <c r="F19" s="43">
        <f t="shared" si="0"/>
        <v>0.1772</v>
      </c>
      <c r="G19" s="44">
        <f>'Motor €'!P17</f>
        <v>2401.4555</v>
      </c>
      <c r="H19" s="8">
        <f>'Motor €'!Q17</f>
        <v>2492</v>
      </c>
      <c r="I19" s="68">
        <f t="shared" si="3"/>
        <v>4893.4555</v>
      </c>
      <c r="J19" s="89">
        <f t="shared" si="1"/>
        <v>16651.982378854624</v>
      </c>
      <c r="K19" s="20">
        <f t="shared" si="18"/>
        <v>1779.057946458835</v>
      </c>
      <c r="L19" s="37">
        <f t="shared" si="4"/>
        <v>17932.90410030499</v>
      </c>
      <c r="M19" s="40">
        <f t="shared" si="5"/>
        <v>3.6283609611250518</v>
      </c>
      <c r="N19" s="37">
        <f t="shared" si="6"/>
        <v>36.57387848814038</v>
      </c>
      <c r="O19" s="35">
        <f t="shared" si="2"/>
        <v>0.8138509657876194</v>
      </c>
      <c r="P19" s="27">
        <f t="shared" si="7"/>
        <v>7.9048607975921419</v>
      </c>
      <c r="Q19" s="49">
        <f t="shared" si="8"/>
        <v>1.4983113742629621</v>
      </c>
      <c r="R19" s="58">
        <f t="shared" si="9"/>
        <v>-9401.469610132157</v>
      </c>
      <c r="S19" s="62">
        <f t="shared" si="10"/>
        <v>-391.49047775951533</v>
      </c>
      <c r="T19" s="59">
        <f t="shared" si="11"/>
        <v>-313.38232033773858</v>
      </c>
      <c r="U19" s="58">
        <f t="shared" si="12"/>
        <v>915.75465943747236</v>
      </c>
      <c r="V19" s="62">
        <f t="shared" si="13"/>
        <v>36.747779271166628</v>
      </c>
      <c r="W19" s="59">
        <f t="shared" si="14"/>
        <v>30.525155314582413</v>
      </c>
      <c r="X19" s="58">
        <f t="shared" si="15"/>
        <v>-1461.9657131480881</v>
      </c>
      <c r="Y19" s="62">
        <f t="shared" si="16"/>
        <v>-29.875937630332761</v>
      </c>
      <c r="Z19" s="59">
        <f t="shared" si="17"/>
        <v>-48.732190438269605</v>
      </c>
    </row>
    <row r="20" spans="1:26">
      <c r="A20" s="7">
        <v>37</v>
      </c>
      <c r="B20" s="119">
        <f>IF('Energy Savings Calculator'!$C$4="Tertiary",IF($C$3="Pumps",VLOOKUP(A20,'Op Data'!$A$3:$Y$28,2,FALSE),IF($C$3="Fans",VLOOKUP(A20,'Op Data'!$A$3:$Y$28,3,FALSE),IF($C$3="Air Compressors",VLOOKUP(A20,'Op Data'!$A$3:$Y$28,4,FALSE),IF($C$3="Conveyors",VLOOKUP(A20,'Op Data'!$A$3:$Y$28,5,FALSE),IF($C$3="Refrigeration",VLOOKUP(A20,'Op Data'!$A$3:$Y$28,6,FALSE),))))),IF($C$3="Pumps",VLOOKUP($A20,'Op Data'!$A$3:$Y$28,16,FALSE),IF($C$3="Fans",VLOOKUP($A20,'Op Data'!$A$3:$Y$28,17,FALSE),IF($C$3="Air Compressors",VLOOKUP($A20,'Op Data'!$A$3:$Y$28,18,FALSE),IF($C$3="Conveyors",VLOOKUP($A20,'Op Data'!$A$3:$Y$28,19,FALSE),IF($C$3="Refrigeration",VLOOKUP($A20,'Op Data'!$A$3:$Y$28,20,FALSE),))))))</f>
        <v>3000</v>
      </c>
      <c r="C20" s="4">
        <v>91.3</v>
      </c>
      <c r="D20" s="110">
        <f>IF($E$3="High Efficiency (IE2)",VLOOKUP($A20,'Op Data'!$A$3:$N$28,12,FALSE),IF($E$3="Premium Efficiency (IE3)",VLOOKUP($A20,'Op Data'!$A$3:$N$28,13,FALSE),IF($E$3="C",VLOOKUP($A20,'Op Data'!$A$3:$N$28,14,FALSE),)))</f>
        <v>94</v>
      </c>
      <c r="E20" s="111">
        <f>IF('Energy Savings Calculator'!$C$4="Tertiary",IF($C$3="Pumps",VLOOKUP($A20,'Op Data'!$A$3:$K$28,7,FALSE),IF($C$3="Fans",VLOOKUP($A20,'Op Data'!$A$3:$K$28,8,FALSE),IF($C$3="Air Compressors",VLOOKUP($A20,'Op Data'!$A$3:$K$28,9,FALSE),IF($C$3="Conveyors",VLOOKUP($A20,'Op Data'!$A$3:$K$28,10,FALSE),IF($C$3="Refrigeration",VLOOKUP($A20,'Op Data'!$A$3:$K$28,11,FALSE),))))),IF($C$3="Pumps",VLOOKUP($A20,'Op Data'!$A$3:$Y$28,21,FALSE),IF($C$3="Fans",VLOOKUP($A20,'Op Data'!$A$3:$Y$28,22,FALSE),IF($C$3="Air Compressors",VLOOKUP($A20,'Op Data'!$A$3:$Y$28,23,FALSE),IF($C$3="Conveyors",VLOOKUP($A20,'Op Data'!$A$3:$Y$28,24,FALSE),IF($C$3="Refrigeration",VLOOKUP($A20,'Op Data'!$A$3:$Y$28,25,FALSE),))))))</f>
        <v>0.6</v>
      </c>
      <c r="F20" s="43">
        <f t="shared" si="0"/>
        <v>0.1772</v>
      </c>
      <c r="G20" s="44">
        <f>'Motor €'!P18</f>
        <v>3274.5299999999997</v>
      </c>
      <c r="H20" s="8">
        <f>'Motor €'!Q18</f>
        <v>3137.5</v>
      </c>
      <c r="I20" s="68">
        <f t="shared" si="3"/>
        <v>6412.03</v>
      </c>
      <c r="J20" s="89">
        <f t="shared" si="1"/>
        <v>20424.972617743704</v>
      </c>
      <c r="K20" s="20">
        <f t="shared" si="18"/>
        <v>2095.2669478688499</v>
      </c>
      <c r="L20" s="37">
        <f t="shared" si="4"/>
        <v>21933.564820209278</v>
      </c>
      <c r="M20" s="40">
        <f t="shared" si="5"/>
        <v>3.4458340287749696</v>
      </c>
      <c r="N20" s="37">
        <f t="shared" si="6"/>
        <v>36.071501107146489</v>
      </c>
      <c r="O20" s="35">
        <f t="shared" si="2"/>
        <v>0.90473996146259117</v>
      </c>
      <c r="P20" s="27">
        <f t="shared" si="7"/>
        <v>8.4504659224059573</v>
      </c>
      <c r="Q20" s="49">
        <f t="shared" si="8"/>
        <v>1.6067888964917825</v>
      </c>
      <c r="R20" s="58">
        <f t="shared" si="9"/>
        <v>-11202.690591456736</v>
      </c>
      <c r="S20" s="62">
        <f t="shared" si="10"/>
        <v>-342.1159858500834</v>
      </c>
      <c r="T20" s="59">
        <f t="shared" si="11"/>
        <v>-302.77542139072261</v>
      </c>
      <c r="U20" s="58">
        <f t="shared" si="12"/>
        <v>1281.093484188199</v>
      </c>
      <c r="V20" s="62">
        <f t="shared" si="13"/>
        <v>40.831664834683636</v>
      </c>
      <c r="W20" s="59">
        <f t="shared" si="14"/>
        <v>34.624148221302676</v>
      </c>
      <c r="X20" s="58">
        <f t="shared" si="15"/>
        <v>-1361.2253722821679</v>
      </c>
      <c r="Y20" s="62">
        <f t="shared" si="16"/>
        <v>-21.229242100897345</v>
      </c>
      <c r="Z20" s="59">
        <f t="shared" si="17"/>
        <v>-36.789874926545075</v>
      </c>
    </row>
    <row r="21" spans="1:26">
      <c r="A21" s="7">
        <v>45</v>
      </c>
      <c r="B21" s="119">
        <f>IF('Energy Savings Calculator'!$C$4="Tertiary",IF($C$3="Pumps",VLOOKUP(A21,'Op Data'!$A$3:$Y$28,2,FALSE),IF($C$3="Fans",VLOOKUP(A21,'Op Data'!$A$3:$Y$28,3,FALSE),IF($C$3="Air Compressors",VLOOKUP(A21,'Op Data'!$A$3:$Y$28,4,FALSE),IF($C$3="Conveyors",VLOOKUP(A21,'Op Data'!$A$3:$Y$28,5,FALSE),IF($C$3="Refrigeration",VLOOKUP(A21,'Op Data'!$A$3:$Y$28,6,FALSE),))))),IF($C$3="Pumps",VLOOKUP($A21,'Op Data'!$A$3:$Y$28,16,FALSE),IF($C$3="Fans",VLOOKUP($A21,'Op Data'!$A$3:$Y$28,17,FALSE),IF($C$3="Air Compressors",VLOOKUP($A21,'Op Data'!$A$3:$Y$28,18,FALSE),IF($C$3="Conveyors",VLOOKUP($A21,'Op Data'!$A$3:$Y$28,19,FALSE),IF($C$3="Refrigeration",VLOOKUP($A21,'Op Data'!$A$3:$Y$28,20,FALSE),))))))</f>
        <v>3000</v>
      </c>
      <c r="C21" s="4">
        <v>91.7</v>
      </c>
      <c r="D21" s="110">
        <f>IF($E$3="High Efficiency (IE2)",VLOOKUP($A21,'Op Data'!$A$3:$N$28,12,FALSE),IF($E$3="Premium Efficiency (IE3)",VLOOKUP($A21,'Op Data'!$A$3:$N$28,13,FALSE),IF($E$3="C",VLOOKUP($A21,'Op Data'!$A$3:$N$28,14,FALSE),)))</f>
        <v>94.3</v>
      </c>
      <c r="E21" s="111">
        <f>IF('Energy Savings Calculator'!$C$4="Tertiary",IF($C$3="Pumps",VLOOKUP($A21,'Op Data'!$A$3:$K$28,7,FALSE),IF($C$3="Fans",VLOOKUP($A21,'Op Data'!$A$3:$K$28,8,FALSE),IF($C$3="Air Compressors",VLOOKUP($A21,'Op Data'!$A$3:$K$28,9,FALSE),IF($C$3="Conveyors",VLOOKUP($A21,'Op Data'!$A$3:$K$28,10,FALSE),IF($C$3="Refrigeration",VLOOKUP($A21,'Op Data'!$A$3:$K$28,11,FALSE),))))),IF($C$3="Pumps",VLOOKUP($A21,'Op Data'!$A$3:$Y$28,21,FALSE),IF($C$3="Fans",VLOOKUP($A21,'Op Data'!$A$3:$Y$28,22,FALSE),IF($C$3="Air Compressors",VLOOKUP($A21,'Op Data'!$A$3:$Y$28,23,FALSE),IF($C$3="Conveyors",VLOOKUP($A21,'Op Data'!$A$3:$Y$28,24,FALSE),IF($C$3="Refrigeration",VLOOKUP($A21,'Op Data'!$A$3:$Y$28,25,FALSE),))))))</f>
        <v>0.6</v>
      </c>
      <c r="F21" s="43">
        <f t="shared" si="0"/>
        <v>0.1772</v>
      </c>
      <c r="G21" s="44">
        <f>'Motor €'!P19</f>
        <v>3776.02</v>
      </c>
      <c r="H21" s="8">
        <f>'Motor €'!Q19</f>
        <v>3860.5</v>
      </c>
      <c r="I21" s="68">
        <f t="shared" si="3"/>
        <v>7636.52</v>
      </c>
      <c r="J21" s="89">
        <f t="shared" si="1"/>
        <v>24732.824427480915</v>
      </c>
      <c r="K21" s="20">
        <f t="shared" si="18"/>
        <v>2435.439460363968</v>
      </c>
      <c r="L21" s="37">
        <f t="shared" si="4"/>
        <v>26486.340838942975</v>
      </c>
      <c r="M21" s="40">
        <f t="shared" si="5"/>
        <v>3.2788608322414312</v>
      </c>
      <c r="N21" s="37">
        <f t="shared" si="6"/>
        <v>35.658872650945753</v>
      </c>
      <c r="O21" s="35">
        <f t="shared" si="2"/>
        <v>0.86158246941448602</v>
      </c>
      <c r="P21" s="27">
        <f t="shared" si="7"/>
        <v>8.9454563482493548</v>
      </c>
      <c r="Q21" s="49">
        <f t="shared" si="8"/>
        <v>1.5862436225302843</v>
      </c>
      <c r="R21" s="58">
        <f t="shared" si="9"/>
        <v>-13754.605954198472</v>
      </c>
      <c r="S21" s="62">
        <f t="shared" si="10"/>
        <v>-364.26199951797054</v>
      </c>
      <c r="T21" s="59">
        <f t="shared" si="11"/>
        <v>-305.65791009329939</v>
      </c>
      <c r="U21" s="58">
        <f t="shared" si="12"/>
        <v>1702.7006381175242</v>
      </c>
      <c r="V21" s="62">
        <f t="shared" si="13"/>
        <v>44.105702321396819</v>
      </c>
      <c r="W21" s="59">
        <f t="shared" si="14"/>
        <v>37.837791958167209</v>
      </c>
      <c r="X21" s="58">
        <f t="shared" si="15"/>
        <v>-1750.2391933213894</v>
      </c>
      <c r="Y21" s="62">
        <f t="shared" si="16"/>
        <v>-22.919329659601352</v>
      </c>
      <c r="Z21" s="59">
        <f t="shared" si="17"/>
        <v>-38.894204296030878</v>
      </c>
    </row>
    <row r="22" spans="1:26">
      <c r="A22" s="7">
        <v>55</v>
      </c>
      <c r="B22" s="119">
        <f>IF('Energy Savings Calculator'!$C$4="Tertiary",IF($C$3="Pumps",VLOOKUP(A22,'Op Data'!$A$3:$Y$28,2,FALSE),IF($C$3="Fans",VLOOKUP(A22,'Op Data'!$A$3:$Y$28,3,FALSE),IF($C$3="Air Compressors",VLOOKUP(A22,'Op Data'!$A$3:$Y$28,4,FALSE),IF($C$3="Conveyors",VLOOKUP(A22,'Op Data'!$A$3:$Y$28,5,FALSE),IF($C$3="Refrigeration",VLOOKUP(A22,'Op Data'!$A$3:$Y$28,6,FALSE),))))),IF($C$3="Pumps",VLOOKUP($A22,'Op Data'!$A$3:$Y$28,16,FALSE),IF($C$3="Fans",VLOOKUP($A22,'Op Data'!$A$3:$Y$28,17,FALSE),IF($C$3="Air Compressors",VLOOKUP($A22,'Op Data'!$A$3:$Y$28,18,FALSE),IF($C$3="Conveyors",VLOOKUP($A22,'Op Data'!$A$3:$Y$28,19,FALSE),IF($C$3="Refrigeration",VLOOKUP($A22,'Op Data'!$A$3:$Y$28,20,FALSE),))))))</f>
        <v>3000</v>
      </c>
      <c r="C22" s="4">
        <v>92.2</v>
      </c>
      <c r="D22" s="110">
        <f>IF($E$3="High Efficiency (IE2)",VLOOKUP($A22,'Op Data'!$A$3:$N$28,12,FALSE),IF($E$3="Premium Efficiency (IE3)",VLOOKUP($A22,'Op Data'!$A$3:$N$28,13,FALSE),IF($E$3="C",VLOOKUP($A22,'Op Data'!$A$3:$N$28,14,FALSE),)))</f>
        <v>94.5</v>
      </c>
      <c r="E22" s="111">
        <f>IF('Energy Savings Calculator'!$C$4="Tertiary",IF($C$3="Pumps",VLOOKUP($A22,'Op Data'!$A$3:$K$28,7,FALSE),IF($C$3="Fans",VLOOKUP($A22,'Op Data'!$A$3:$K$28,8,FALSE),IF($C$3="Air Compressors",VLOOKUP($A22,'Op Data'!$A$3:$K$28,9,FALSE),IF($C$3="Conveyors",VLOOKUP($A22,'Op Data'!$A$3:$K$28,10,FALSE),IF($C$3="Refrigeration",VLOOKUP($A22,'Op Data'!$A$3:$K$28,11,FALSE),))))),IF($C$3="Pumps",VLOOKUP($A22,'Op Data'!$A$3:$Y$28,21,FALSE),IF($C$3="Fans",VLOOKUP($A22,'Op Data'!$A$3:$Y$28,22,FALSE),IF($C$3="Air Compressors",VLOOKUP($A22,'Op Data'!$A$3:$Y$28,23,FALSE),IF($C$3="Conveyors",VLOOKUP($A22,'Op Data'!$A$3:$Y$28,24,FALSE),IF($C$3="Refrigeration",VLOOKUP($A22,'Op Data'!$A$3:$Y$28,25,FALSE),))))))</f>
        <v>0.6</v>
      </c>
      <c r="F22" s="43">
        <f t="shared" si="0"/>
        <v>0.1772</v>
      </c>
      <c r="G22" s="44">
        <f>'Motor €'!P20</f>
        <v>4595.0285000000003</v>
      </c>
      <c r="H22" s="8">
        <f>'Motor €'!Q20</f>
        <v>4772</v>
      </c>
      <c r="I22" s="68">
        <f t="shared" si="3"/>
        <v>9367.0285000000003</v>
      </c>
      <c r="J22" s="89">
        <f t="shared" si="1"/>
        <v>30065.075921908898</v>
      </c>
      <c r="K22" s="20">
        <f t="shared" si="18"/>
        <v>2613.3663877698696</v>
      </c>
      <c r="L22" s="37">
        <f t="shared" si="4"/>
        <v>31946.699721103207</v>
      </c>
      <c r="M22" s="40">
        <f t="shared" si="5"/>
        <v>2.8630846291218801</v>
      </c>
      <c r="N22" s="37">
        <f t="shared" si="6"/>
        <v>34.999342361908901</v>
      </c>
      <c r="O22" s="35">
        <f t="shared" si="2"/>
        <v>0.86250612318769759</v>
      </c>
      <c r="P22" s="27">
        <f t="shared" si="7"/>
        <v>10.304725238447837</v>
      </c>
      <c r="Q22" s="49">
        <f t="shared" si="8"/>
        <v>1.6176210037544014</v>
      </c>
      <c r="R22" s="58">
        <f t="shared" si="9"/>
        <v>-16715.097313449027</v>
      </c>
      <c r="S22" s="62">
        <f t="shared" si="10"/>
        <v>-363.76482351413108</v>
      </c>
      <c r="T22" s="59">
        <f t="shared" si="11"/>
        <v>-303.91086024452778</v>
      </c>
      <c r="U22" s="58">
        <f t="shared" si="12"/>
        <v>2456.5573804358955</v>
      </c>
      <c r="V22" s="62">
        <f t="shared" si="13"/>
        <v>51.478570419863701</v>
      </c>
      <c r="W22" s="59">
        <f t="shared" si="14"/>
        <v>44.664679644289009</v>
      </c>
      <c r="X22" s="58">
        <f t="shared" si="15"/>
        <v>-1954.8818811589754</v>
      </c>
      <c r="Y22" s="62">
        <f t="shared" si="16"/>
        <v>-20.869818866879452</v>
      </c>
      <c r="Z22" s="59">
        <f t="shared" si="17"/>
        <v>-35.54330693016319</v>
      </c>
    </row>
    <row r="23" spans="1:26">
      <c r="A23" s="7">
        <v>75</v>
      </c>
      <c r="B23" s="119">
        <f>IF('Energy Savings Calculator'!$C$4="Tertiary",IF($C$3="Pumps",VLOOKUP(A23,'Op Data'!$A$3:$Y$28,2,FALSE),IF($C$3="Fans",VLOOKUP(A23,'Op Data'!$A$3:$Y$28,3,FALSE),IF($C$3="Air Compressors",VLOOKUP(A23,'Op Data'!$A$3:$Y$28,4,FALSE),IF($C$3="Conveyors",VLOOKUP(A23,'Op Data'!$A$3:$Y$28,5,FALSE),IF($C$3="Refrigeration",VLOOKUP(A23,'Op Data'!$A$3:$Y$28,6,FALSE),))))),IF($C$3="Pumps",VLOOKUP($A23,'Op Data'!$A$3:$Y$28,16,FALSE),IF($C$3="Fans",VLOOKUP($A23,'Op Data'!$A$3:$Y$28,17,FALSE),IF($C$3="Air Compressors",VLOOKUP($A23,'Op Data'!$A$3:$Y$28,18,FALSE),IF($C$3="Conveyors",VLOOKUP($A23,'Op Data'!$A$3:$Y$28,19,FALSE),IF($C$3="Refrigeration",VLOOKUP($A23,'Op Data'!$A$3:$Y$28,20,FALSE),))))))</f>
        <v>3000</v>
      </c>
      <c r="C23" s="4">
        <v>92.7</v>
      </c>
      <c r="D23" s="110">
        <f>IF($E$3="High Efficiency (IE2)",VLOOKUP($A23,'Op Data'!$A$3:$N$28,12,FALSE),IF($E$3="Premium Efficiency (IE3)",VLOOKUP($A23,'Op Data'!$A$3:$N$28,13,FALSE),IF($E$3="C",VLOOKUP($A23,'Op Data'!$A$3:$N$28,14,FALSE),)))</f>
        <v>95</v>
      </c>
      <c r="E23" s="111">
        <f>IF('Energy Savings Calculator'!$C$4="Tertiary",IF($C$3="Pumps",VLOOKUP($A23,'Op Data'!$A$3:$K$28,7,FALSE),IF($C$3="Fans",VLOOKUP($A23,'Op Data'!$A$3:$K$28,8,FALSE),IF($C$3="Air Compressors",VLOOKUP($A23,'Op Data'!$A$3:$K$28,9,FALSE),IF($C$3="Conveyors",VLOOKUP($A23,'Op Data'!$A$3:$K$28,10,FALSE),IF($C$3="Refrigeration",VLOOKUP($A23,'Op Data'!$A$3:$K$28,11,FALSE),))))),IF($C$3="Pumps",VLOOKUP($A23,'Op Data'!$A$3:$Y$28,21,FALSE),IF($C$3="Fans",VLOOKUP($A23,'Op Data'!$A$3:$Y$28,22,FALSE),IF($C$3="Air Compressors",VLOOKUP($A23,'Op Data'!$A$3:$Y$28,23,FALSE),IF($C$3="Conveyors",VLOOKUP($A23,'Op Data'!$A$3:$Y$28,24,FALSE),IF($C$3="Refrigeration",VLOOKUP($A23,'Op Data'!$A$3:$Y$28,25,FALSE),))))))</f>
        <v>0.6</v>
      </c>
      <c r="F23" s="43">
        <f t="shared" si="0"/>
        <v>0.1772</v>
      </c>
      <c r="G23" s="44">
        <f>'Motor €'!P21</f>
        <v>5367.5285000000003</v>
      </c>
      <c r="H23" s="8">
        <f>'Motor €'!Q21</f>
        <v>6048.5</v>
      </c>
      <c r="I23" s="68">
        <f t="shared" si="3"/>
        <v>11416.0285</v>
      </c>
      <c r="J23" s="89">
        <f t="shared" si="1"/>
        <v>40776.699029126212</v>
      </c>
      <c r="K23" s="20">
        <f t="shared" si="18"/>
        <v>3525.8048032703182</v>
      </c>
      <c r="L23" s="37">
        <f t="shared" si="4"/>
        <v>43315.278487480842</v>
      </c>
      <c r="M23" s="40">
        <f t="shared" si="5"/>
        <v>2.8173756868195441</v>
      </c>
      <c r="N23" s="37">
        <f t="shared" si="6"/>
        <v>34.61207278555343</v>
      </c>
      <c r="O23" s="35">
        <f t="shared" si="2"/>
        <v>0.74284563514457713</v>
      </c>
      <c r="P23" s="27">
        <f t="shared" si="7"/>
        <v>9.6811222069551963</v>
      </c>
      <c r="Q23" s="49">
        <f t="shared" si="8"/>
        <v>1.4541963657731052</v>
      </c>
      <c r="R23" s="58">
        <f t="shared" si="9"/>
        <v>-23534.995771844657</v>
      </c>
      <c r="S23" s="62">
        <f t="shared" si="10"/>
        <v>-438.46987998004397</v>
      </c>
      <c r="T23" s="59">
        <f t="shared" si="11"/>
        <v>-313.79994362459541</v>
      </c>
      <c r="U23" s="58">
        <f t="shared" si="12"/>
        <v>2924.6369443024983</v>
      </c>
      <c r="V23" s="62">
        <f t="shared" si="13"/>
        <v>48.353094888030064</v>
      </c>
      <c r="W23" s="59">
        <f t="shared" si="14"/>
        <v>38.995159257366645</v>
      </c>
      <c r="X23" s="58">
        <f t="shared" si="15"/>
        <v>-3934.906195963209</v>
      </c>
      <c r="Y23" s="62">
        <f t="shared" si="16"/>
        <v>-34.468258343636833</v>
      </c>
      <c r="Z23" s="59">
        <f t="shared" si="17"/>
        <v>-52.465415946176122</v>
      </c>
    </row>
    <row r="24" spans="1:26">
      <c r="A24" s="7">
        <v>90</v>
      </c>
      <c r="B24" s="119">
        <f>IF('Energy Savings Calculator'!$C$4="Tertiary",IF($C$3="Pumps",VLOOKUP(A24,'Op Data'!$A$3:$Y$28,2,FALSE),IF($C$3="Fans",VLOOKUP(A24,'Op Data'!$A$3:$Y$28,3,FALSE),IF($C$3="Air Compressors",VLOOKUP(A24,'Op Data'!$A$3:$Y$28,4,FALSE),IF($C$3="Conveyors",VLOOKUP(A24,'Op Data'!$A$3:$Y$28,5,FALSE),IF($C$3="Refrigeration",VLOOKUP(A24,'Op Data'!$A$3:$Y$28,6,FALSE),))))),IF($C$3="Pumps",VLOOKUP($A24,'Op Data'!$A$3:$Y$28,16,FALSE),IF($C$3="Fans",VLOOKUP($A24,'Op Data'!$A$3:$Y$28,17,FALSE),IF($C$3="Air Compressors",VLOOKUP($A24,'Op Data'!$A$3:$Y$28,18,FALSE),IF($C$3="Conveyors",VLOOKUP($A24,'Op Data'!$A$3:$Y$28,19,FALSE),IF($C$3="Refrigeration",VLOOKUP($A24,'Op Data'!$A$3:$Y$28,20,FALSE),))))))</f>
        <v>3000</v>
      </c>
      <c r="C24" s="4">
        <v>93</v>
      </c>
      <c r="D24" s="110">
        <f>IF($E$3="High Efficiency (IE2)",VLOOKUP($A24,'Op Data'!$A$3:$N$28,12,FALSE),IF($E$3="Premium Efficiency (IE3)",VLOOKUP($A24,'Op Data'!$A$3:$N$28,13,FALSE),IF($E$3="C",VLOOKUP($A24,'Op Data'!$A$3:$N$28,14,FALSE),)))</f>
        <v>95.2</v>
      </c>
      <c r="E24" s="111">
        <f>IF('Energy Savings Calculator'!$C$4="Tertiary",IF($C$3="Pumps",VLOOKUP($A24,'Op Data'!$A$3:$K$28,7,FALSE),IF($C$3="Fans",VLOOKUP($A24,'Op Data'!$A$3:$K$28,8,FALSE),IF($C$3="Air Compressors",VLOOKUP($A24,'Op Data'!$A$3:$K$28,9,FALSE),IF($C$3="Conveyors",VLOOKUP($A24,'Op Data'!$A$3:$K$28,10,FALSE),IF($C$3="Refrigeration",VLOOKUP($A24,'Op Data'!$A$3:$K$28,11,FALSE),))))),IF($C$3="Pumps",VLOOKUP($A24,'Op Data'!$A$3:$Y$28,21,FALSE),IF($C$3="Fans",VLOOKUP($A24,'Op Data'!$A$3:$Y$28,22,FALSE),IF($C$3="Air Compressors",VLOOKUP($A24,'Op Data'!$A$3:$Y$28,23,FALSE),IF($C$3="Conveyors",VLOOKUP($A24,'Op Data'!$A$3:$Y$28,24,FALSE),IF($C$3="Refrigeration",VLOOKUP($A24,'Op Data'!$A$3:$Y$28,25,FALSE),))))))</f>
        <v>0.6</v>
      </c>
      <c r="F24" s="43">
        <f t="shared" si="0"/>
        <v>0.1772</v>
      </c>
      <c r="G24" s="44">
        <f>'Motor €'!P22</f>
        <v>6408.9575000000004</v>
      </c>
      <c r="H24" s="8">
        <f>'Motor €'!Q22</f>
        <v>7070.5</v>
      </c>
      <c r="I24" s="68">
        <f t="shared" si="3"/>
        <v>13479.4575</v>
      </c>
      <c r="J24" s="89">
        <f t="shared" si="1"/>
        <v>48774.193548387106</v>
      </c>
      <c r="K24" s="20">
        <f t="shared" si="18"/>
        <v>4025.4811602059999</v>
      </c>
      <c r="L24" s="37">
        <f t="shared" si="4"/>
        <v>51672.539983735413</v>
      </c>
      <c r="M24" s="40">
        <f t="shared" si="5"/>
        <v>2.6718977566746314</v>
      </c>
      <c r="N24" s="37">
        <f t="shared" si="6"/>
        <v>34.297451203859957</v>
      </c>
      <c r="O24" s="35">
        <f t="shared" si="2"/>
        <v>0.74153828252833609</v>
      </c>
      <c r="P24" s="27">
        <f t="shared" si="7"/>
        <v>9.9121670048871398</v>
      </c>
      <c r="Q24" s="49">
        <f t="shared" si="8"/>
        <v>1.4407129148124116</v>
      </c>
      <c r="R24" s="58">
        <f t="shared" si="9"/>
        <v>-28162.190887096778</v>
      </c>
      <c r="S24" s="62">
        <f t="shared" si="10"/>
        <v>-439.41921735472232</v>
      </c>
      <c r="T24" s="59">
        <f t="shared" si="11"/>
        <v>-312.91323207885307</v>
      </c>
      <c r="U24" s="58">
        <f t="shared" si="12"/>
        <v>3503.923692057484</v>
      </c>
      <c r="V24" s="62">
        <f t="shared" si="13"/>
        <v>49.556943526730556</v>
      </c>
      <c r="W24" s="59">
        <f t="shared" si="14"/>
        <v>38.932485467305376</v>
      </c>
      <c r="X24" s="58">
        <f t="shared" si="15"/>
        <v>-4833.2906702358305</v>
      </c>
      <c r="Y24" s="62">
        <f t="shared" si="16"/>
        <v>-35.856715080972883</v>
      </c>
      <c r="Z24" s="59">
        <f t="shared" si="17"/>
        <v>-53.703229669287005</v>
      </c>
    </row>
    <row r="25" spans="1:26">
      <c r="A25" s="7">
        <v>110</v>
      </c>
      <c r="B25" s="119">
        <f>IF('Energy Savings Calculator'!$C$4="Tertiary",IF($C$3="Pumps",VLOOKUP(A25,'Op Data'!$A$3:$Y$28,2,FALSE),IF($C$3="Fans",VLOOKUP(A25,'Op Data'!$A$3:$Y$28,3,FALSE),IF($C$3="Air Compressors",VLOOKUP(A25,'Op Data'!$A$3:$Y$28,4,FALSE),IF($C$3="Conveyors",VLOOKUP(A25,'Op Data'!$A$3:$Y$28,5,FALSE),IF($C$3="Refrigeration",VLOOKUP(A25,'Op Data'!$A$3:$Y$28,6,FALSE),))))),IF($C$3="Pumps",VLOOKUP($A25,'Op Data'!$A$3:$Y$28,16,FALSE),IF($C$3="Fans",VLOOKUP($A25,'Op Data'!$A$3:$Y$28,17,FALSE),IF($C$3="Air Compressors",VLOOKUP($A25,'Op Data'!$A$3:$Y$28,18,FALSE),IF($C$3="Conveyors",VLOOKUP($A25,'Op Data'!$A$3:$Y$28,19,FALSE),IF($C$3="Refrigeration",VLOOKUP($A25,'Op Data'!$A$3:$Y$28,20,FALSE),))))))</f>
        <v>3000</v>
      </c>
      <c r="C25" s="4">
        <v>93.3</v>
      </c>
      <c r="D25" s="110">
        <f>IF($E$3="High Efficiency (IE2)",VLOOKUP($A25,'Op Data'!$A$3:$N$28,12,FALSE),IF($E$3="Premium Efficiency (IE3)",VLOOKUP($A25,'Op Data'!$A$3:$N$28,13,FALSE),IF($E$3="C",VLOOKUP($A25,'Op Data'!$A$3:$N$28,14,FALSE),)))</f>
        <v>95.4</v>
      </c>
      <c r="E25" s="111">
        <f>IF('Energy Savings Calculator'!$C$4="Tertiary",IF($C$3="Pumps",VLOOKUP($A25,'Op Data'!$A$3:$K$28,7,FALSE),IF($C$3="Fans",VLOOKUP($A25,'Op Data'!$A$3:$K$28,8,FALSE),IF($C$3="Air Compressors",VLOOKUP($A25,'Op Data'!$A$3:$K$28,9,FALSE),IF($C$3="Conveyors",VLOOKUP($A25,'Op Data'!$A$3:$K$28,10,FALSE),IF($C$3="Refrigeration",VLOOKUP($A25,'Op Data'!$A$3:$K$28,11,FALSE),))))),IF($C$3="Pumps",VLOOKUP($A25,'Op Data'!$A$3:$Y$28,21,FALSE),IF($C$3="Fans",VLOOKUP($A25,'Op Data'!$A$3:$Y$28,22,FALSE),IF($C$3="Air Compressors",VLOOKUP($A25,'Op Data'!$A$3:$Y$28,23,FALSE),IF($C$3="Conveyors",VLOOKUP($A25,'Op Data'!$A$3:$Y$28,24,FALSE),IF($C$3="Refrigeration",VLOOKUP($A25,'Op Data'!$A$3:$Y$28,25,FALSE),))))))</f>
        <v>0.6</v>
      </c>
      <c r="F25" s="43">
        <f t="shared" si="0"/>
        <v>0.1772</v>
      </c>
      <c r="G25" s="44">
        <f>'Motor €'!P23</f>
        <v>8310.7929999999997</v>
      </c>
      <c r="H25" s="8">
        <f>'Motor €'!Q23</f>
        <v>9057.5</v>
      </c>
      <c r="I25" s="68">
        <f t="shared" si="3"/>
        <v>17368.292999999998</v>
      </c>
      <c r="J25" s="89">
        <f t="shared" si="1"/>
        <v>59421.221864951774</v>
      </c>
      <c r="K25" s="20">
        <f t="shared" si="18"/>
        <v>4671.4797063641681</v>
      </c>
      <c r="L25" s="37">
        <f t="shared" si="4"/>
        <v>62784.687253533986</v>
      </c>
      <c r="M25" s="40">
        <f t="shared" si="5"/>
        <v>2.5287601125749282</v>
      </c>
      <c r="N25" s="37">
        <f t="shared" si="6"/>
        <v>33.986535913006804</v>
      </c>
      <c r="O25" s="35">
        <f t="shared" si="2"/>
        <v>0.78929103484457597</v>
      </c>
      <c r="P25" s="27">
        <f t="shared" si="7"/>
        <v>10.94183492861532</v>
      </c>
      <c r="Q25" s="49">
        <f t="shared" si="8"/>
        <v>1.5292723682097955</v>
      </c>
      <c r="R25" s="58">
        <f t="shared" si="9"/>
        <v>-33806.969057877817</v>
      </c>
      <c r="S25" s="62">
        <f t="shared" si="10"/>
        <v>-406.78391409673924</v>
      </c>
      <c r="T25" s="59">
        <f t="shared" si="11"/>
        <v>-307.33608234434377</v>
      </c>
      <c r="U25" s="58">
        <f t="shared" si="12"/>
        <v>4918.5689801613471</v>
      </c>
      <c r="V25" s="62">
        <f t="shared" si="13"/>
        <v>54.30382533989895</v>
      </c>
      <c r="W25" s="59">
        <f t="shared" si="14"/>
        <v>44.714263456012247</v>
      </c>
      <c r="X25" s="58">
        <f t="shared" si="15"/>
        <v>-4882.6001626524449</v>
      </c>
      <c r="Y25" s="62">
        <f t="shared" si="16"/>
        <v>-28.112147593620428</v>
      </c>
      <c r="Z25" s="59">
        <f t="shared" si="17"/>
        <v>-44.38727420593132</v>
      </c>
    </row>
    <row r="26" spans="1:26">
      <c r="A26" s="7">
        <v>132</v>
      </c>
      <c r="B26" s="119">
        <f>IF('Energy Savings Calculator'!$C$4="Tertiary",IF($C$3="Pumps",VLOOKUP(A26,'Op Data'!$A$3:$Y$28,2,FALSE),IF($C$3="Fans",VLOOKUP(A26,'Op Data'!$A$3:$Y$28,3,FALSE),IF($C$3="Air Compressors",VLOOKUP(A26,'Op Data'!$A$3:$Y$28,4,FALSE),IF($C$3="Conveyors",VLOOKUP(A26,'Op Data'!$A$3:$Y$28,5,FALSE),IF($C$3="Refrigeration",VLOOKUP(A26,'Op Data'!$A$3:$Y$28,6,FALSE),))))),IF($C$3="Pumps",VLOOKUP($A26,'Op Data'!$A$3:$Y$28,16,FALSE),IF($C$3="Fans",VLOOKUP($A26,'Op Data'!$A$3:$Y$28,17,FALSE),IF($C$3="Air Compressors",VLOOKUP($A26,'Op Data'!$A$3:$Y$28,18,FALSE),IF($C$3="Conveyors",VLOOKUP($A26,'Op Data'!$A$3:$Y$28,19,FALSE),IF($C$3="Refrigeration",VLOOKUP($A26,'Op Data'!$A$3:$Y$28,20,FALSE),))))))</f>
        <v>3000</v>
      </c>
      <c r="C26" s="4">
        <v>93.6</v>
      </c>
      <c r="D26" s="110">
        <f>IF($E$3="High Efficiency (IE2)",VLOOKUP($A26,'Op Data'!$A$3:$N$28,12,FALSE),IF($E$3="Premium Efficiency (IE3)",VLOOKUP($A26,'Op Data'!$A$3:$N$28,13,FALSE),IF($E$3="C",VLOOKUP($A26,'Op Data'!$A$3:$N$28,14,FALSE),)))</f>
        <v>95.6</v>
      </c>
      <c r="E26" s="111">
        <f>IF('Energy Savings Calculator'!$C$4="Tertiary",IF($C$3="Pumps",VLOOKUP($A26,'Op Data'!$A$3:$K$28,7,FALSE),IF($C$3="Fans",VLOOKUP($A26,'Op Data'!$A$3:$K$28,8,FALSE),IF($C$3="Air Compressors",VLOOKUP($A26,'Op Data'!$A$3:$K$28,9,FALSE),IF($C$3="Conveyors",VLOOKUP($A26,'Op Data'!$A$3:$K$28,10,FALSE),IF($C$3="Refrigeration",VLOOKUP($A26,'Op Data'!$A$3:$K$28,11,FALSE),))))),IF($C$3="Pumps",VLOOKUP($A26,'Op Data'!$A$3:$Y$28,21,FALSE),IF($C$3="Fans",VLOOKUP($A26,'Op Data'!$A$3:$Y$28,22,FALSE),IF($C$3="Air Compressors",VLOOKUP($A26,'Op Data'!$A$3:$Y$28,23,FALSE),IF($C$3="Conveyors",VLOOKUP($A26,'Op Data'!$A$3:$Y$28,24,FALSE),IF($C$3="Refrigeration",VLOOKUP($A26,'Op Data'!$A$3:$Y$28,25,FALSE),))))))</f>
        <v>0.6</v>
      </c>
      <c r="F26" s="43">
        <f t="shared" si="0"/>
        <v>0.1772</v>
      </c>
      <c r="G26" s="44">
        <f>'Motor €'!P24</f>
        <v>9057.8619999999992</v>
      </c>
      <c r="H26" s="8">
        <f>'Motor €'!Q24</f>
        <v>10982.5</v>
      </c>
      <c r="I26" s="68">
        <f t="shared" si="3"/>
        <v>20040.362000000001</v>
      </c>
      <c r="J26" s="89">
        <f t="shared" si="1"/>
        <v>71076.923076923078</v>
      </c>
      <c r="K26" s="20">
        <f t="shared" si="18"/>
        <v>5310.588992597367</v>
      </c>
      <c r="L26" s="37">
        <f t="shared" si="4"/>
        <v>74900.547151593186</v>
      </c>
      <c r="M26" s="40">
        <f t="shared" si="5"/>
        <v>2.3879234800809765</v>
      </c>
      <c r="N26" s="37">
        <f t="shared" si="6"/>
        <v>33.679272763062059</v>
      </c>
      <c r="O26" s="35">
        <f t="shared" si="2"/>
        <v>0.71917298183381695</v>
      </c>
      <c r="P26" s="27">
        <f t="shared" si="7"/>
        <v>11.670643511868104</v>
      </c>
      <c r="Q26" s="49">
        <f t="shared" si="8"/>
        <v>1.4805377294724642</v>
      </c>
      <c r="R26" s="58">
        <f t="shared" si="9"/>
        <v>-41321.461076923079</v>
      </c>
      <c r="S26" s="62">
        <f t="shared" si="10"/>
        <v>-456.19442068032254</v>
      </c>
      <c r="T26" s="59">
        <f t="shared" si="11"/>
        <v>-313.04137179487179</v>
      </c>
      <c r="U26" s="58">
        <f t="shared" si="12"/>
        <v>6277.3181525587333</v>
      </c>
      <c r="V26" s="62">
        <f t="shared" si="13"/>
        <v>57.157460983917439</v>
      </c>
      <c r="W26" s="59">
        <f t="shared" si="14"/>
        <v>47.555440549687376</v>
      </c>
      <c r="X26" s="58">
        <f t="shared" si="15"/>
        <v>-6504.3919105246241</v>
      </c>
      <c r="Y26" s="62">
        <f t="shared" si="16"/>
        <v>-32.45645917236736</v>
      </c>
      <c r="Z26" s="59">
        <f t="shared" si="17"/>
        <v>-49.275696291853215</v>
      </c>
    </row>
    <row r="27" spans="1:26">
      <c r="A27" s="7">
        <v>160</v>
      </c>
      <c r="B27" s="119">
        <f>IF('Energy Savings Calculator'!$C$4="Tertiary",IF($C$3="Pumps",VLOOKUP(A27,'Op Data'!$A$3:$Y$28,2,FALSE),IF($C$3="Fans",VLOOKUP(A27,'Op Data'!$A$3:$Y$28,3,FALSE),IF($C$3="Air Compressors",VLOOKUP(A27,'Op Data'!$A$3:$Y$28,4,FALSE),IF($C$3="Conveyors",VLOOKUP(A27,'Op Data'!$A$3:$Y$28,5,FALSE),IF($C$3="Refrigeration",VLOOKUP(A27,'Op Data'!$A$3:$Y$28,6,FALSE),))))),IF($C$3="Pumps",VLOOKUP($A27,'Op Data'!$A$3:$Y$28,16,FALSE),IF($C$3="Fans",VLOOKUP($A27,'Op Data'!$A$3:$Y$28,17,FALSE),IF($C$3="Air Compressors",VLOOKUP($A27,'Op Data'!$A$3:$Y$28,18,FALSE),IF($C$3="Conveyors",VLOOKUP($A27,'Op Data'!$A$3:$Y$28,19,FALSE),IF($C$3="Refrigeration",VLOOKUP($A27,'Op Data'!$A$3:$Y$28,20,FALSE),))))))</f>
        <v>3000</v>
      </c>
      <c r="C27" s="4">
        <v>93.8</v>
      </c>
      <c r="D27" s="110">
        <f>IF($E$3="High Efficiency (IE2)",VLOOKUP($A27,'Op Data'!$A$3:$N$28,12,FALSE),IF($E$3="Premium Efficiency (IE3)",VLOOKUP($A27,'Op Data'!$A$3:$N$28,13,FALSE),IF($E$3="C",VLOOKUP($A27,'Op Data'!$A$3:$N$28,14,FALSE),)))</f>
        <v>95.8</v>
      </c>
      <c r="E27" s="111">
        <f>IF('Energy Savings Calculator'!$C$4="Tertiary",IF($C$3="Pumps",VLOOKUP($A27,'Op Data'!$A$3:$K$28,7,FALSE),IF($C$3="Fans",VLOOKUP($A27,'Op Data'!$A$3:$K$28,8,FALSE),IF($C$3="Air Compressors",VLOOKUP($A27,'Op Data'!$A$3:$K$28,9,FALSE),IF($C$3="Conveyors",VLOOKUP($A27,'Op Data'!$A$3:$K$28,10,FALSE),IF($C$3="Refrigeration",VLOOKUP($A27,'Op Data'!$A$3:$K$28,11,FALSE),))))),IF($C$3="Pumps",VLOOKUP($A27,'Op Data'!$A$3:$Y$28,21,FALSE),IF($C$3="Fans",VLOOKUP($A27,'Op Data'!$A$3:$Y$28,22,FALSE),IF($C$3="Air Compressors",VLOOKUP($A27,'Op Data'!$A$3:$Y$28,23,FALSE),IF($C$3="Conveyors",VLOOKUP($A27,'Op Data'!$A$3:$Y$28,24,FALSE),IF($C$3="Refrigeration",VLOOKUP($A27,'Op Data'!$A$3:$Y$28,25,FALSE),))))))</f>
        <v>0.6</v>
      </c>
      <c r="F27" s="43">
        <f t="shared" si="0"/>
        <v>0.1772</v>
      </c>
      <c r="G27" s="44">
        <f>'Motor €'!P25</f>
        <v>9762.1345000000001</v>
      </c>
      <c r="H27" s="8">
        <f>'Motor €'!Q25</f>
        <v>13928</v>
      </c>
      <c r="I27" s="68">
        <f t="shared" si="3"/>
        <v>23690.1345</v>
      </c>
      <c r="J27" s="89">
        <f t="shared" si="1"/>
        <v>85970.149253731346</v>
      </c>
      <c r="K27" s="20">
        <f t="shared" si="18"/>
        <v>6409.9425330846243</v>
      </c>
      <c r="L27" s="37">
        <f t="shared" si="4"/>
        <v>90585.307877552274</v>
      </c>
      <c r="M27" s="40">
        <f t="shared" si="5"/>
        <v>2.372787303469492</v>
      </c>
      <c r="N27" s="37">
        <f t="shared" si="6"/>
        <v>33.532230172630996</v>
      </c>
      <c r="O27" s="35">
        <f t="shared" si="2"/>
        <v>0.64081606186904316</v>
      </c>
      <c r="P27" s="27">
        <f t="shared" si="7"/>
        <v>12.262270849009333</v>
      </c>
      <c r="Q27" s="49">
        <f t="shared" si="8"/>
        <v>1.4471895552870448</v>
      </c>
      <c r="R27" s="58">
        <f t="shared" si="9"/>
        <v>-51173.507291044778</v>
      </c>
      <c r="S27" s="62">
        <f t="shared" si="10"/>
        <v>-524.20407945664726</v>
      </c>
      <c r="T27" s="59">
        <f t="shared" si="11"/>
        <v>-319.83442056902987</v>
      </c>
      <c r="U27" s="58">
        <f t="shared" si="12"/>
        <v>8248.7909156870228</v>
      </c>
      <c r="V27" s="62">
        <f t="shared" si="13"/>
        <v>59.224518349275002</v>
      </c>
      <c r="W27" s="59">
        <f t="shared" si="14"/>
        <v>51.554943223043892</v>
      </c>
      <c r="X27" s="58">
        <f t="shared" si="15"/>
        <v>-8413.2986118045264</v>
      </c>
      <c r="Y27" s="62">
        <f t="shared" si="16"/>
        <v>-35.513933497526267</v>
      </c>
      <c r="Z27" s="59">
        <f t="shared" si="17"/>
        <v>-52.583116323778292</v>
      </c>
    </row>
    <row r="28" spans="1:26">
      <c r="A28" s="7">
        <v>200</v>
      </c>
      <c r="B28" s="119">
        <f>IF('Energy Savings Calculator'!$C$4="Tertiary",IF($C$3="Pumps",VLOOKUP(A28,'Op Data'!$A$3:$Y$28,2,FALSE),IF($C$3="Fans",VLOOKUP(A28,'Op Data'!$A$3:$Y$28,3,FALSE),IF($C$3="Air Compressors",VLOOKUP(A28,'Op Data'!$A$3:$Y$28,4,FALSE),IF($C$3="Conveyors",VLOOKUP(A28,'Op Data'!$A$3:$Y$28,5,FALSE),IF($C$3="Refrigeration",VLOOKUP(A28,'Op Data'!$A$3:$Y$28,6,FALSE),))))),IF($C$3="Pumps",VLOOKUP($A28,'Op Data'!$A$3:$Y$28,16,FALSE),IF($C$3="Fans",VLOOKUP($A28,'Op Data'!$A$3:$Y$28,17,FALSE),IF($C$3="Air Compressors",VLOOKUP($A28,'Op Data'!$A$3:$Y$28,18,FALSE),IF($C$3="Conveyors",VLOOKUP($A28,'Op Data'!$A$3:$Y$28,19,FALSE),IF($C$3="Refrigeration",VLOOKUP($A28,'Op Data'!$A$3:$Y$28,20,FALSE),))))))</f>
        <v>3000</v>
      </c>
      <c r="C28" s="4">
        <v>94</v>
      </c>
      <c r="D28" s="110">
        <f>IF($E$3="High Efficiency (IE2)",VLOOKUP($A28,'Op Data'!$A$3:$N$28,12,FALSE),IF($E$3="Premium Efficiency (IE3)",VLOOKUP($A28,'Op Data'!$A$3:$N$28,13,FALSE),IF($E$3="C",VLOOKUP($A28,'Op Data'!$A$3:$N$28,14,FALSE),)))</f>
        <v>96</v>
      </c>
      <c r="E28" s="111">
        <f>IF('Energy Savings Calculator'!$C$4="Tertiary",IF($C$3="Pumps",VLOOKUP($A28,'Op Data'!$A$3:$K$28,7,FALSE),IF($C$3="Fans",VLOOKUP($A28,'Op Data'!$A$3:$K$28,8,FALSE),IF($C$3="Air Compressors",VLOOKUP($A28,'Op Data'!$A$3:$K$28,9,FALSE),IF($C$3="Conveyors",VLOOKUP($A28,'Op Data'!$A$3:$K$28,10,FALSE),IF($C$3="Refrigeration",VLOOKUP($A28,'Op Data'!$A$3:$K$28,11,FALSE),))))),IF($C$3="Pumps",VLOOKUP($A28,'Op Data'!$A$3:$Y$28,21,FALSE),IF($C$3="Fans",VLOOKUP($A28,'Op Data'!$A$3:$Y$28,22,FALSE),IF($C$3="Air Compressors",VLOOKUP($A28,'Op Data'!$A$3:$Y$28,23,FALSE),IF($C$3="Conveyors",VLOOKUP($A28,'Op Data'!$A$3:$Y$28,24,FALSE),IF($C$3="Refrigeration",VLOOKUP($A28,'Op Data'!$A$3:$Y$28,25,FALSE),))))))</f>
        <v>0.6</v>
      </c>
      <c r="F28" s="43">
        <f t="shared" si="0"/>
        <v>0.1772</v>
      </c>
      <c r="G28" s="44">
        <f>'Motor €'!P26</f>
        <v>11623.2835</v>
      </c>
      <c r="H28" s="8">
        <f>'Motor €'!Q26</f>
        <v>17851</v>
      </c>
      <c r="I28" s="68">
        <f t="shared" si="3"/>
        <v>29474.283499999998</v>
      </c>
      <c r="J28" s="89">
        <f t="shared" si="1"/>
        <v>107234.0425531915</v>
      </c>
      <c r="K28" s="20">
        <f t="shared" si="18"/>
        <v>7978.7234042552855</v>
      </c>
      <c r="L28" s="37">
        <f t="shared" si="4"/>
        <v>112978.7234042553</v>
      </c>
      <c r="M28" s="40">
        <f t="shared" si="5"/>
        <v>2.3577787837633823</v>
      </c>
      <c r="N28" s="37">
        <f t="shared" si="6"/>
        <v>33.386147578089634</v>
      </c>
      <c r="O28" s="35">
        <f t="shared" si="2"/>
        <v>0.61169148448977029</v>
      </c>
      <c r="P28" s="27">
        <f t="shared" si="7"/>
        <v>12.625989465763785</v>
      </c>
      <c r="Q28" s="49">
        <f t="shared" si="8"/>
        <v>1.4437065801458622</v>
      </c>
      <c r="R28" s="58">
        <f t="shared" si="9"/>
        <v>-64384.205861702132</v>
      </c>
      <c r="S28" s="62">
        <f t="shared" si="10"/>
        <v>-553.92442128510538</v>
      </c>
      <c r="T28" s="59">
        <f t="shared" si="11"/>
        <v>-321.92102930851064</v>
      </c>
      <c r="U28" s="58">
        <f t="shared" si="12"/>
        <v>10781.851063829818</v>
      </c>
      <c r="V28" s="62">
        <f t="shared" si="13"/>
        <v>60.399143262729361</v>
      </c>
      <c r="W28" s="59">
        <f t="shared" si="14"/>
        <v>53.909255319149089</v>
      </c>
      <c r="X28" s="58">
        <f t="shared" si="15"/>
        <v>-10565.376074468084</v>
      </c>
      <c r="Y28" s="62">
        <f t="shared" si="16"/>
        <v>-35.846082821548777</v>
      </c>
      <c r="Z28" s="59">
        <f t="shared" si="17"/>
        <v>-52.826880372340419</v>
      </c>
    </row>
    <row r="29" spans="1:26">
      <c r="A29" s="7">
        <v>375</v>
      </c>
      <c r="B29" s="119">
        <f>IF('Energy Savings Calculator'!$C$4="Tertiary",IF($C$3="Pumps",VLOOKUP(A29,'Op Data'!$A$3:$Y$28,2,FALSE),IF($C$3="Fans",VLOOKUP(A29,'Op Data'!$A$3:$Y$28,3,FALSE),IF($C$3="Air Compressors",VLOOKUP(A29,'Op Data'!$A$3:$Y$28,4,FALSE),IF($C$3="Conveyors",VLOOKUP(A29,'Op Data'!$A$3:$Y$28,5,FALSE),IF($C$3="Refrigeration",VLOOKUP(A29,'Op Data'!$A$3:$Y$28,6,FALSE),))))),IF($C$3="Pumps",VLOOKUP($A29,'Op Data'!$A$3:$Y$28,16,FALSE),IF($C$3="Fans",VLOOKUP($A29,'Op Data'!$A$3:$Y$28,17,FALSE),IF($C$3="Air Compressors",VLOOKUP($A29,'Op Data'!$A$3:$Y$28,18,FALSE),IF($C$3="Conveyors",VLOOKUP($A29,'Op Data'!$A$3:$Y$28,19,FALSE),IF($C$3="Refrigeration",VLOOKUP($A29,'Op Data'!$A$3:$Y$28,20,FALSE),))))))</f>
        <v>3000</v>
      </c>
      <c r="C29" s="4">
        <v>94</v>
      </c>
      <c r="D29" s="110">
        <f>IF($E$3="High Efficiency (IE2)",VLOOKUP($A29,'Op Data'!$A$3:$N$28,12,FALSE),IF($E$3="Premium Efficiency (IE3)",VLOOKUP($A29,'Op Data'!$A$3:$N$28,13,FALSE),IF($E$3="C",VLOOKUP($A29,'Op Data'!$A$3:$N$28,14,FALSE),)))</f>
        <v>96</v>
      </c>
      <c r="E29" s="111">
        <f>IF('Energy Savings Calculator'!$C$4="Tertiary",IF($C$3="Pumps",VLOOKUP($A29,'Op Data'!$A$3:$K$28,7,FALSE),IF($C$3="Fans",VLOOKUP($A29,'Op Data'!$A$3:$K$28,8,FALSE),IF($C$3="Air Compressors",VLOOKUP($A29,'Op Data'!$A$3:$K$28,9,FALSE),IF($C$3="Conveyors",VLOOKUP($A29,'Op Data'!$A$3:$K$28,10,FALSE),IF($C$3="Refrigeration",VLOOKUP($A29,'Op Data'!$A$3:$K$28,11,FALSE),))))),IF($C$3="Pumps",VLOOKUP($A29,'Op Data'!$A$3:$Y$28,21,FALSE),IF($C$3="Fans",VLOOKUP($A29,'Op Data'!$A$3:$Y$28,22,FALSE),IF($C$3="Air Compressors",VLOOKUP($A29,'Op Data'!$A$3:$Y$28,23,FALSE),IF($C$3="Conveyors",VLOOKUP($A29,'Op Data'!$A$3:$Y$28,24,FALSE),IF($C$3="Refrigeration",VLOOKUP($A29,'Op Data'!$A$3:$Y$28,25,FALSE),))))))</f>
        <v>0.6</v>
      </c>
      <c r="F29" s="43">
        <f t="shared" si="0"/>
        <v>0.1772</v>
      </c>
      <c r="G29" s="44">
        <f>'Motor €'!P27</f>
        <v>15450.869499999999</v>
      </c>
      <c r="H29" s="8">
        <f>'Motor €'!Q27</f>
        <v>33326</v>
      </c>
      <c r="I29" s="68">
        <f t="shared" si="3"/>
        <v>48776.869500000001</v>
      </c>
      <c r="J29" s="89">
        <f t="shared" si="1"/>
        <v>201063.82978723402</v>
      </c>
      <c r="K29" s="20">
        <f t="shared" si="18"/>
        <v>14960.10638297866</v>
      </c>
      <c r="L29" s="37">
        <f t="shared" si="4"/>
        <v>211835.1063829787</v>
      </c>
      <c r="M29" s="40">
        <f t="shared" si="5"/>
        <v>2.3577787837633823</v>
      </c>
      <c r="N29" s="37">
        <f t="shared" si="6"/>
        <v>33.386147578089634</v>
      </c>
      <c r="O29" s="35">
        <f t="shared" si="2"/>
        <v>0.43366588227214636</v>
      </c>
      <c r="P29" s="27">
        <f t="shared" si="7"/>
        <v>12.571433157762783</v>
      </c>
      <c r="Q29" s="49">
        <f t="shared" si="8"/>
        <v>1.2742314830678936</v>
      </c>
      <c r="R29" s="58">
        <f t="shared" si="9"/>
        <v>-127063.17305319148</v>
      </c>
      <c r="S29" s="62">
        <f t="shared" si="10"/>
        <v>-822.36907801979362</v>
      </c>
      <c r="T29" s="59">
        <f t="shared" si="11"/>
        <v>-338.83512814184394</v>
      </c>
      <c r="U29" s="58">
        <f t="shared" si="12"/>
        <v>20071.345744680908</v>
      </c>
      <c r="V29" s="62">
        <f t="shared" si="13"/>
        <v>60.227287237234918</v>
      </c>
      <c r="W29" s="59">
        <f t="shared" si="14"/>
        <v>53.523588652482424</v>
      </c>
      <c r="X29" s="58">
        <f t="shared" si="15"/>
        <v>-26297.492202127643</v>
      </c>
      <c r="Y29" s="62">
        <f t="shared" si="16"/>
        <v>-53.913858088263837</v>
      </c>
      <c r="Z29" s="59">
        <f t="shared" si="17"/>
        <v>-70.126645872340376</v>
      </c>
    </row>
    <row r="30" spans="1:26" ht="15.75" thickBot="1">
      <c r="A30" s="7">
        <v>400</v>
      </c>
      <c r="B30" s="119">
        <f>IF('Energy Savings Calculator'!$C$4="Tertiary",IF($C$3="Pumps",VLOOKUP(A30,'Op Data'!$A$3:$Y$28,2,FALSE),IF($C$3="Fans",VLOOKUP(A30,'Op Data'!$A$3:$Y$28,3,FALSE),IF($C$3="Air Compressors",VLOOKUP(A30,'Op Data'!$A$3:$Y$28,4,FALSE),IF($C$3="Conveyors",VLOOKUP(A30,'Op Data'!$A$3:$Y$28,5,FALSE),IF($C$3="Refrigeration",VLOOKUP(A30,'Op Data'!$A$3:$Y$28,6,FALSE),))))),IF($C$3="Pumps",VLOOKUP($A30,'Op Data'!$A$3:$Y$28,16,FALSE),IF($C$3="Fans",VLOOKUP($A30,'Op Data'!$A$3:$Y$28,17,FALSE),IF($C$3="Air Compressors",VLOOKUP($A30,'Op Data'!$A$3:$Y$28,18,FALSE),IF($C$3="Conveyors",VLOOKUP($A30,'Op Data'!$A$3:$Y$28,19,FALSE),IF($C$3="Refrigeration",VLOOKUP($A30,'Op Data'!$A$3:$Y$28,20,FALSE),))))))</f>
        <v>3000</v>
      </c>
      <c r="C30" s="4">
        <v>94</v>
      </c>
      <c r="D30" s="110">
        <f>IF($E$3="High Efficiency (IE2)",VLOOKUP($A30,'Op Data'!$A$3:$N$28,12,FALSE),IF($E$3="Premium Efficiency (IE3)",VLOOKUP($A30,'Op Data'!$A$3:$N$28,13,FALSE),IF($E$3="C",VLOOKUP($A30,'Op Data'!$A$3:$N$28,14,FALSE),)))</f>
        <v>96</v>
      </c>
      <c r="E30" s="111">
        <f>IF('Energy Savings Calculator'!$C$4="Tertiary",IF($C$3="Pumps",VLOOKUP($A30,'Op Data'!$A$3:$K$28,7,FALSE),IF($C$3="Fans",VLOOKUP($A30,'Op Data'!$A$3:$K$28,8,FALSE),IF($C$3="Air Compressors",VLOOKUP($A30,'Op Data'!$A$3:$K$28,9,FALSE),IF($C$3="Conveyors",VLOOKUP($A30,'Op Data'!$A$3:$K$28,10,FALSE),IF($C$3="Refrigeration",VLOOKUP($A30,'Op Data'!$A$3:$K$28,11,FALSE),))))),IF($C$3="Pumps",VLOOKUP($A30,'Op Data'!$A$3:$Y$28,21,FALSE),IF($C$3="Fans",VLOOKUP($A30,'Op Data'!$A$3:$Y$28,22,FALSE),IF($C$3="Air Compressors",VLOOKUP($A30,'Op Data'!$A$3:$Y$28,23,FALSE),IF($C$3="Conveyors",VLOOKUP($A30,'Op Data'!$A$3:$Y$28,24,FALSE),IF($C$3="Refrigeration",VLOOKUP($A30,'Op Data'!$A$3:$Y$28,25,FALSE),))))))</f>
        <v>0.6</v>
      </c>
      <c r="F30" s="43">
        <f t="shared" si="0"/>
        <v>0.1772</v>
      </c>
      <c r="G30" s="44">
        <f>'Motor €'!P28</f>
        <v>15450.869499999999</v>
      </c>
      <c r="H30" s="8">
        <f>'Motor €'!Q28</f>
        <v>35493</v>
      </c>
      <c r="I30" s="69">
        <f t="shared" si="3"/>
        <v>50943.869500000001</v>
      </c>
      <c r="J30" s="90">
        <f t="shared" si="1"/>
        <v>214468.08510638299</v>
      </c>
      <c r="K30" s="91">
        <f t="shared" si="18"/>
        <v>15957.446808510571</v>
      </c>
      <c r="L30" s="92">
        <f t="shared" si="4"/>
        <v>225957.44680851061</v>
      </c>
      <c r="M30" s="93">
        <f t="shared" si="5"/>
        <v>2.3577787837633823</v>
      </c>
      <c r="N30" s="92">
        <f t="shared" si="6"/>
        <v>33.386147578089634</v>
      </c>
      <c r="O30" s="94">
        <f t="shared" si="2"/>
        <v>0.40656176463013721</v>
      </c>
      <c r="P30" s="95">
        <f t="shared" si="7"/>
        <v>12.55207674943572</v>
      </c>
      <c r="Q30" s="96">
        <f t="shared" si="8"/>
        <v>1.2476639103922933</v>
      </c>
      <c r="R30" s="60">
        <f t="shared" si="9"/>
        <v>-136564.10922340426</v>
      </c>
      <c r="S30" s="63">
        <f t="shared" si="10"/>
        <v>-883.86034988777988</v>
      </c>
      <c r="T30" s="61">
        <f t="shared" si="11"/>
        <v>-341.41027305851065</v>
      </c>
      <c r="U30" s="60">
        <f t="shared" si="12"/>
        <v>21354.702127659635</v>
      </c>
      <c r="V30" s="63">
        <f t="shared" si="13"/>
        <v>60.165954209730465</v>
      </c>
      <c r="W30" s="61">
        <f t="shared" si="14"/>
        <v>53.386755319149088</v>
      </c>
      <c r="X30" s="60">
        <f t="shared" si="15"/>
        <v>-29135.449648936163</v>
      </c>
      <c r="Y30" s="63">
        <f t="shared" si="16"/>
        <v>-57.191277252577301</v>
      </c>
      <c r="Z30" s="61">
        <f t="shared" si="17"/>
        <v>-72.838624122340406</v>
      </c>
    </row>
    <row r="31" spans="1:26" ht="15.75" thickTop="1">
      <c r="C31" s="1"/>
      <c r="D31" s="1"/>
      <c r="E31" s="1"/>
      <c r="F31" s="1"/>
      <c r="G31" s="1"/>
      <c r="H31" s="1"/>
      <c r="I31" s="1"/>
      <c r="M31" s="198" t="s">
        <v>73</v>
      </c>
      <c r="N31" s="167"/>
      <c r="O31" s="30"/>
      <c r="P31" s="30"/>
      <c r="Q31" s="30"/>
      <c r="R31" s="30">
        <f t="shared" ref="P31:Z31" si="19">SUM(R7:R30)/24</f>
        <v>-24399.523708478857</v>
      </c>
      <c r="S31" s="30">
        <f t="shared" si="19"/>
        <v>-364.94485742600494</v>
      </c>
      <c r="T31" s="30">
        <f t="shared" si="19"/>
        <v>-310.37223029531998</v>
      </c>
      <c r="U31" s="30">
        <f t="shared" si="19"/>
        <v>3640.0261460908569</v>
      </c>
      <c r="V31" s="30">
        <f t="shared" si="19"/>
        <v>38.257728162112549</v>
      </c>
      <c r="W31" s="30">
        <f t="shared" si="19"/>
        <v>46.891348721508798</v>
      </c>
      <c r="X31" s="30">
        <f t="shared" si="19"/>
        <v>-4230.5394908319322</v>
      </c>
      <c r="Y31" s="30">
        <f t="shared" si="19"/>
        <v>-10.989331447635626</v>
      </c>
      <c r="Z31" s="30">
        <f t="shared" si="19"/>
        <v>20.483455622416724</v>
      </c>
    </row>
    <row r="32" spans="1:26">
      <c r="J32">
        <f>274/A7*B7*C7*E7</f>
        <v>55051714.666666657</v>
      </c>
      <c r="P32" s="46"/>
    </row>
    <row r="33" spans="16:18">
      <c r="P33">
        <v>589</v>
      </c>
      <c r="Q33" s="1">
        <f>609*0.12</f>
        <v>73.08</v>
      </c>
      <c r="R33" s="28">
        <f>P33/Q33</f>
        <v>8.0596606458675435</v>
      </c>
    </row>
    <row r="34" spans="16:18">
      <c r="R34" s="29">
        <f>(P33-112)/Q33</f>
        <v>6.5270935960591139</v>
      </c>
    </row>
  </sheetData>
  <mergeCells count="23">
    <mergeCell ref="M31:N31"/>
    <mergeCell ref="C3:C4"/>
    <mergeCell ref="A2:B4"/>
    <mergeCell ref="R2:R3"/>
    <mergeCell ref="S2:S3"/>
    <mergeCell ref="M4:N4"/>
    <mergeCell ref="G4:I4"/>
    <mergeCell ref="J4:L4"/>
    <mergeCell ref="D3:D4"/>
    <mergeCell ref="D2:E2"/>
    <mergeCell ref="E3:E4"/>
    <mergeCell ref="O4:Q4"/>
    <mergeCell ref="R4:T4"/>
    <mergeCell ref="T2:T3"/>
    <mergeCell ref="D1:F1"/>
    <mergeCell ref="Z2:Z3"/>
    <mergeCell ref="X4:Z4"/>
    <mergeCell ref="V2:V3"/>
    <mergeCell ref="U2:U3"/>
    <mergeCell ref="X2:X3"/>
    <mergeCell ref="Y2:Y3"/>
    <mergeCell ref="U4:W4"/>
    <mergeCell ref="W2:W3"/>
  </mergeCells>
  <conditionalFormatting sqref="R7:Z30">
    <cfRule type="cellIs" dxfId="1" priority="1" stopIfTrue="1" operator="lessThan">
      <formula>0</formula>
    </cfRule>
    <cfRule type="cellIs" dxfId="0" priority="2" stopIfTrue="1" operator="greaterThan">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sheetPr codeName="Sheet2"/>
  <dimension ref="A1:Y32"/>
  <sheetViews>
    <sheetView workbookViewId="0">
      <pane xSplit="1" topLeftCell="B1" activePane="topRight" state="frozen"/>
      <selection pane="topRight" activeCell="B3" sqref="B3"/>
    </sheetView>
  </sheetViews>
  <sheetFormatPr defaultRowHeight="15"/>
  <sheetData>
    <row r="1" spans="1:25">
      <c r="B1" s="207" t="s">
        <v>74</v>
      </c>
      <c r="C1" s="207"/>
      <c r="D1" s="207"/>
      <c r="E1" s="207"/>
      <c r="F1" s="207"/>
      <c r="G1" s="207"/>
      <c r="H1" s="207"/>
      <c r="I1" s="207"/>
      <c r="J1" s="207"/>
      <c r="K1" s="207"/>
      <c r="P1" s="155" t="s">
        <v>75</v>
      </c>
      <c r="Q1" s="155"/>
      <c r="R1" s="155"/>
      <c r="S1" s="155"/>
      <c r="T1" s="155"/>
      <c r="U1" s="155"/>
      <c r="V1" s="155"/>
      <c r="W1" s="155"/>
      <c r="X1" s="155"/>
      <c r="Y1" s="155"/>
    </row>
    <row r="2" spans="1:25">
      <c r="B2" s="206" t="s">
        <v>5</v>
      </c>
      <c r="C2" s="206"/>
      <c r="D2" s="206"/>
      <c r="E2" s="206"/>
      <c r="F2" s="206"/>
      <c r="G2" s="206" t="s">
        <v>6</v>
      </c>
      <c r="H2" s="206"/>
      <c r="I2" s="206"/>
      <c r="J2" s="206"/>
      <c r="K2" s="206"/>
      <c r="P2" s="206" t="s">
        <v>5</v>
      </c>
      <c r="Q2" s="206"/>
      <c r="R2" s="206"/>
      <c r="S2" s="206"/>
      <c r="T2" s="206"/>
      <c r="U2" s="206" t="s">
        <v>6</v>
      </c>
      <c r="V2" s="206"/>
      <c r="W2" s="206"/>
      <c r="X2" s="206"/>
      <c r="Y2" s="206"/>
    </row>
    <row r="3" spans="1:25" ht="45" customHeight="1">
      <c r="A3" s="11" t="s">
        <v>0</v>
      </c>
      <c r="B3" s="2" t="s">
        <v>13</v>
      </c>
      <c r="C3" s="12" t="s">
        <v>14</v>
      </c>
      <c r="D3" s="2" t="s">
        <v>15</v>
      </c>
      <c r="E3" s="2" t="s">
        <v>16</v>
      </c>
      <c r="F3" s="2" t="s">
        <v>2</v>
      </c>
      <c r="G3" s="2" t="s">
        <v>13</v>
      </c>
      <c r="H3" s="2" t="s">
        <v>14</v>
      </c>
      <c r="I3" s="2" t="s">
        <v>15</v>
      </c>
      <c r="J3" s="2" t="s">
        <v>16</v>
      </c>
      <c r="K3" s="2" t="s">
        <v>2</v>
      </c>
      <c r="L3" s="112" t="s">
        <v>86</v>
      </c>
      <c r="M3" s="113" t="s">
        <v>87</v>
      </c>
      <c r="N3" s="109"/>
      <c r="O3" s="106" t="s">
        <v>0</v>
      </c>
      <c r="P3" s="53" t="s">
        <v>13</v>
      </c>
      <c r="Q3" s="53" t="s">
        <v>14</v>
      </c>
      <c r="R3" s="53" t="s">
        <v>15</v>
      </c>
      <c r="S3" s="53" t="s">
        <v>16</v>
      </c>
      <c r="T3" s="53" t="s">
        <v>2</v>
      </c>
      <c r="U3" s="53" t="s">
        <v>13</v>
      </c>
      <c r="V3" s="53" t="s">
        <v>14</v>
      </c>
      <c r="W3" s="53" t="s">
        <v>15</v>
      </c>
      <c r="X3" s="53" t="s">
        <v>16</v>
      </c>
      <c r="Y3" s="53" t="s">
        <v>2</v>
      </c>
    </row>
    <row r="4" spans="1:25">
      <c r="A4" s="11"/>
      <c r="B4" s="2"/>
      <c r="C4" s="2"/>
      <c r="D4" s="2"/>
      <c r="E4" s="2"/>
      <c r="F4" s="2"/>
      <c r="G4" s="2"/>
      <c r="H4" s="2"/>
      <c r="I4" s="2"/>
      <c r="J4" s="2"/>
      <c r="K4" s="2"/>
      <c r="L4" s="9">
        <v>2</v>
      </c>
      <c r="M4" s="14">
        <v>4</v>
      </c>
      <c r="N4" s="14">
        <v>6</v>
      </c>
      <c r="O4" s="106"/>
      <c r="P4" s="53"/>
      <c r="Q4" s="53"/>
      <c r="R4" s="53"/>
      <c r="S4" s="53"/>
      <c r="T4" s="53"/>
      <c r="U4" s="53"/>
      <c r="V4" s="53"/>
      <c r="W4" s="53"/>
      <c r="X4" s="53"/>
      <c r="Y4" s="53"/>
    </row>
    <row r="5" spans="1:25">
      <c r="A5" s="7">
        <v>0.75</v>
      </c>
      <c r="B5" s="3">
        <v>3800</v>
      </c>
      <c r="C5" s="3">
        <v>2250</v>
      </c>
      <c r="D5" s="3">
        <v>1030</v>
      </c>
      <c r="E5" s="3">
        <v>621</v>
      </c>
      <c r="F5" s="3">
        <v>4200</v>
      </c>
      <c r="G5" s="5">
        <v>0.55000000000000004</v>
      </c>
      <c r="H5" s="5">
        <v>0.6</v>
      </c>
      <c r="I5" s="5">
        <v>0.4</v>
      </c>
      <c r="J5" s="5">
        <v>0.61</v>
      </c>
      <c r="K5" s="5">
        <v>0.7</v>
      </c>
      <c r="L5" s="9">
        <v>81.099999999999994</v>
      </c>
      <c r="M5" s="4">
        <v>84</v>
      </c>
      <c r="N5" s="14">
        <v>78.900000000000006</v>
      </c>
      <c r="O5" s="7">
        <v>0.75</v>
      </c>
      <c r="P5" s="54">
        <v>3800</v>
      </c>
      <c r="Q5" s="54">
        <v>4900</v>
      </c>
      <c r="R5" s="54">
        <v>2177</v>
      </c>
      <c r="S5" s="54">
        <v>3060</v>
      </c>
      <c r="T5" s="98">
        <v>5000</v>
      </c>
      <c r="U5" s="101">
        <v>0.55000000000000004</v>
      </c>
      <c r="V5" s="67">
        <v>0.53</v>
      </c>
      <c r="W5" s="67">
        <v>0.63</v>
      </c>
      <c r="X5" s="67">
        <v>0.42</v>
      </c>
      <c r="Y5" s="67">
        <v>0.6</v>
      </c>
    </row>
    <row r="6" spans="1:25">
      <c r="A6" s="7">
        <v>1.1000000000000001</v>
      </c>
      <c r="B6" s="3">
        <v>3800</v>
      </c>
      <c r="C6" s="3">
        <v>2250</v>
      </c>
      <c r="D6" s="3">
        <v>1030</v>
      </c>
      <c r="E6" s="3">
        <v>621</v>
      </c>
      <c r="F6" s="3">
        <v>4200</v>
      </c>
      <c r="G6" s="5">
        <v>0.55000000000000004</v>
      </c>
      <c r="H6" s="5">
        <v>0.6</v>
      </c>
      <c r="I6" s="5">
        <v>0.4</v>
      </c>
      <c r="J6" s="5">
        <v>0.61</v>
      </c>
      <c r="K6" s="5">
        <v>0.7</v>
      </c>
      <c r="L6" s="9">
        <v>82.7</v>
      </c>
      <c r="M6" s="4">
        <v>85.3</v>
      </c>
      <c r="N6" s="14">
        <v>81</v>
      </c>
      <c r="O6" s="7">
        <v>1.1000000000000001</v>
      </c>
      <c r="P6" s="54">
        <v>3800</v>
      </c>
      <c r="Q6" s="54">
        <v>4900</v>
      </c>
      <c r="R6" s="54">
        <v>2177</v>
      </c>
      <c r="S6" s="54">
        <v>3060</v>
      </c>
      <c r="T6" s="98">
        <v>5000</v>
      </c>
      <c r="U6" s="101">
        <v>0.55000000000000004</v>
      </c>
      <c r="V6" s="67">
        <v>0.53</v>
      </c>
      <c r="W6" s="67">
        <v>0.63</v>
      </c>
      <c r="X6" s="67">
        <v>0.42</v>
      </c>
      <c r="Y6" s="67">
        <v>0.6</v>
      </c>
    </row>
    <row r="7" spans="1:25">
      <c r="A7" s="7">
        <v>1.5</v>
      </c>
      <c r="B7" s="3">
        <v>3800</v>
      </c>
      <c r="C7" s="3">
        <v>2250</v>
      </c>
      <c r="D7" s="3">
        <v>1030</v>
      </c>
      <c r="E7" s="3">
        <v>621</v>
      </c>
      <c r="F7" s="3">
        <v>4200</v>
      </c>
      <c r="G7" s="5">
        <v>0.55000000000000004</v>
      </c>
      <c r="H7" s="5">
        <v>0.6</v>
      </c>
      <c r="I7" s="5">
        <v>0.4</v>
      </c>
      <c r="J7" s="5">
        <v>0.61</v>
      </c>
      <c r="K7" s="5">
        <v>0.7</v>
      </c>
      <c r="L7" s="9">
        <v>83.9</v>
      </c>
      <c r="M7" s="4">
        <v>86.3</v>
      </c>
      <c r="N7" s="14">
        <v>82.5</v>
      </c>
      <c r="O7" s="7">
        <v>1.5</v>
      </c>
      <c r="P7" s="54">
        <v>3800</v>
      </c>
      <c r="Q7" s="54">
        <v>4900</v>
      </c>
      <c r="R7" s="54">
        <v>2177</v>
      </c>
      <c r="S7" s="54">
        <v>3060</v>
      </c>
      <c r="T7" s="98">
        <v>5000</v>
      </c>
      <c r="U7" s="101">
        <v>0.55000000000000004</v>
      </c>
      <c r="V7" s="67">
        <v>0.53</v>
      </c>
      <c r="W7" s="67">
        <v>0.63</v>
      </c>
      <c r="X7" s="67">
        <v>0.42</v>
      </c>
      <c r="Y7" s="67">
        <v>0.6</v>
      </c>
    </row>
    <row r="8" spans="1:25">
      <c r="A8" s="7">
        <v>2.2000000000000002</v>
      </c>
      <c r="B8" s="3">
        <v>3800</v>
      </c>
      <c r="C8" s="3">
        <v>2250</v>
      </c>
      <c r="D8" s="3">
        <v>1030</v>
      </c>
      <c r="E8" s="3">
        <v>621</v>
      </c>
      <c r="F8" s="3">
        <v>4200</v>
      </c>
      <c r="G8" s="5">
        <v>0.55000000000000004</v>
      </c>
      <c r="H8" s="5">
        <v>0.6</v>
      </c>
      <c r="I8" s="5">
        <v>0.4</v>
      </c>
      <c r="J8" s="5">
        <v>0.61</v>
      </c>
      <c r="K8" s="5">
        <v>0.7</v>
      </c>
      <c r="L8" s="9">
        <v>85.3</v>
      </c>
      <c r="M8" s="4">
        <v>87.5</v>
      </c>
      <c r="N8" s="14">
        <v>84.3</v>
      </c>
      <c r="O8" s="7">
        <v>2.2000000000000002</v>
      </c>
      <c r="P8" s="54">
        <v>3800</v>
      </c>
      <c r="Q8" s="54">
        <v>4900</v>
      </c>
      <c r="R8" s="54">
        <v>2177</v>
      </c>
      <c r="S8" s="54">
        <v>3060</v>
      </c>
      <c r="T8" s="98">
        <v>5000</v>
      </c>
      <c r="U8" s="101">
        <v>0.55000000000000004</v>
      </c>
      <c r="V8" s="67">
        <v>0.53</v>
      </c>
      <c r="W8" s="67">
        <v>0.63</v>
      </c>
      <c r="X8" s="67">
        <v>0.42</v>
      </c>
      <c r="Y8" s="67">
        <v>0.6</v>
      </c>
    </row>
    <row r="9" spans="1:25">
      <c r="A9" s="7">
        <v>3</v>
      </c>
      <c r="B9" s="3">
        <v>3800</v>
      </c>
      <c r="C9" s="3">
        <v>2250</v>
      </c>
      <c r="D9" s="3">
        <v>1030</v>
      </c>
      <c r="E9" s="3">
        <v>621</v>
      </c>
      <c r="F9" s="3">
        <v>4200</v>
      </c>
      <c r="G9" s="5">
        <v>0.55000000000000004</v>
      </c>
      <c r="H9" s="5">
        <v>0.6</v>
      </c>
      <c r="I9" s="5">
        <v>0.4</v>
      </c>
      <c r="J9" s="5">
        <v>0.61</v>
      </c>
      <c r="K9" s="5">
        <v>0.7</v>
      </c>
      <c r="L9" s="9">
        <v>86.3</v>
      </c>
      <c r="M9" s="4">
        <v>88.4</v>
      </c>
      <c r="N9" s="14">
        <v>85.6</v>
      </c>
      <c r="O9" s="7">
        <v>3</v>
      </c>
      <c r="P9" s="54">
        <v>3800</v>
      </c>
      <c r="Q9" s="54">
        <v>4900</v>
      </c>
      <c r="R9" s="54">
        <v>2177</v>
      </c>
      <c r="S9" s="54">
        <v>3060</v>
      </c>
      <c r="T9" s="98">
        <v>5000</v>
      </c>
      <c r="U9" s="101">
        <v>0.55000000000000004</v>
      </c>
      <c r="V9" s="67">
        <v>0.53</v>
      </c>
      <c r="W9" s="67">
        <v>0.63</v>
      </c>
      <c r="X9" s="67">
        <v>0.42</v>
      </c>
      <c r="Y9" s="67">
        <v>0.6</v>
      </c>
    </row>
    <row r="10" spans="1:25">
      <c r="A10" s="7">
        <v>4</v>
      </c>
      <c r="B10" s="3">
        <v>3050</v>
      </c>
      <c r="C10" s="3">
        <v>2500</v>
      </c>
      <c r="D10" s="3">
        <v>1000</v>
      </c>
      <c r="E10" s="3">
        <v>916</v>
      </c>
      <c r="F10" s="3">
        <v>4170</v>
      </c>
      <c r="G10" s="5">
        <v>0.6</v>
      </c>
      <c r="H10" s="5">
        <v>0.65</v>
      </c>
      <c r="I10" s="5">
        <v>0.45</v>
      </c>
      <c r="J10" s="5">
        <v>0.53</v>
      </c>
      <c r="K10" s="5">
        <v>0.7</v>
      </c>
      <c r="L10" s="9">
        <v>87.3</v>
      </c>
      <c r="M10" s="4">
        <v>89.2</v>
      </c>
      <c r="N10" s="14">
        <v>86.8</v>
      </c>
      <c r="O10" s="7">
        <v>4</v>
      </c>
      <c r="P10" s="54">
        <v>3800</v>
      </c>
      <c r="Q10" s="54">
        <v>4900</v>
      </c>
      <c r="R10" s="54">
        <v>2177</v>
      </c>
      <c r="S10" s="54">
        <v>3060</v>
      </c>
      <c r="T10" s="98">
        <v>5000</v>
      </c>
      <c r="U10" s="101">
        <v>0.55000000000000004</v>
      </c>
      <c r="V10" s="67">
        <v>0.53</v>
      </c>
      <c r="W10" s="67">
        <v>0.63</v>
      </c>
      <c r="X10" s="67">
        <v>0.42</v>
      </c>
      <c r="Y10" s="67">
        <v>0.6</v>
      </c>
    </row>
    <row r="11" spans="1:25">
      <c r="A11" s="7">
        <v>5.5</v>
      </c>
      <c r="B11" s="3">
        <v>3050</v>
      </c>
      <c r="C11" s="3">
        <v>2500</v>
      </c>
      <c r="D11" s="3">
        <v>1000</v>
      </c>
      <c r="E11" s="3">
        <v>916</v>
      </c>
      <c r="F11" s="3">
        <v>4170</v>
      </c>
      <c r="G11" s="5">
        <v>0.6</v>
      </c>
      <c r="H11" s="5">
        <v>0.65</v>
      </c>
      <c r="I11" s="5">
        <v>0.45</v>
      </c>
      <c r="J11" s="5">
        <v>0.53</v>
      </c>
      <c r="K11" s="5">
        <v>0.7</v>
      </c>
      <c r="L11" s="9">
        <v>88.2</v>
      </c>
      <c r="M11" s="4">
        <v>90</v>
      </c>
      <c r="N11" s="14">
        <v>88</v>
      </c>
      <c r="O11" s="7">
        <v>5.5</v>
      </c>
      <c r="P11" s="54">
        <v>4500</v>
      </c>
      <c r="Q11" s="54">
        <v>4100</v>
      </c>
      <c r="R11" s="54">
        <v>4000</v>
      </c>
      <c r="S11" s="54">
        <v>2800</v>
      </c>
      <c r="T11" s="98">
        <v>1900</v>
      </c>
      <c r="U11" s="101">
        <v>0.57999999999999996</v>
      </c>
      <c r="V11" s="67">
        <v>0.56000000000000005</v>
      </c>
      <c r="W11" s="67">
        <v>0.6</v>
      </c>
      <c r="X11" s="67">
        <v>0.41</v>
      </c>
      <c r="Y11" s="67">
        <v>0.65</v>
      </c>
    </row>
    <row r="12" spans="1:25">
      <c r="A12" s="7">
        <v>7.5</v>
      </c>
      <c r="B12" s="3">
        <v>3050</v>
      </c>
      <c r="C12" s="3">
        <v>2500</v>
      </c>
      <c r="D12" s="3">
        <v>1000</v>
      </c>
      <c r="E12" s="3">
        <v>916</v>
      </c>
      <c r="F12" s="3">
        <v>4170</v>
      </c>
      <c r="G12" s="5">
        <v>0.6</v>
      </c>
      <c r="H12" s="5">
        <v>0.65</v>
      </c>
      <c r="I12" s="5">
        <v>0.45</v>
      </c>
      <c r="J12" s="5">
        <v>0.53</v>
      </c>
      <c r="K12" s="5">
        <v>0.7</v>
      </c>
      <c r="L12" s="9">
        <v>89.1</v>
      </c>
      <c r="M12" s="4">
        <v>90.8</v>
      </c>
      <c r="N12" s="14">
        <v>89.1</v>
      </c>
      <c r="O12" s="7">
        <v>7.5</v>
      </c>
      <c r="P12" s="54">
        <v>4500</v>
      </c>
      <c r="Q12" s="54">
        <v>4100</v>
      </c>
      <c r="R12" s="54">
        <v>4000</v>
      </c>
      <c r="S12" s="54">
        <v>2800</v>
      </c>
      <c r="T12" s="98">
        <v>1900</v>
      </c>
      <c r="U12" s="101">
        <v>0.57999999999999996</v>
      </c>
      <c r="V12" s="67">
        <v>0.56000000000000005</v>
      </c>
      <c r="W12" s="67">
        <v>0.6</v>
      </c>
      <c r="X12" s="67">
        <v>0.41</v>
      </c>
      <c r="Y12" s="67">
        <v>0.65</v>
      </c>
    </row>
    <row r="13" spans="1:25">
      <c r="A13" s="7">
        <v>11</v>
      </c>
      <c r="B13" s="3">
        <v>3000</v>
      </c>
      <c r="C13" s="3">
        <v>2500</v>
      </c>
      <c r="D13" s="3">
        <v>1000</v>
      </c>
      <c r="E13" s="3">
        <v>916</v>
      </c>
      <c r="F13" s="3">
        <v>4050</v>
      </c>
      <c r="G13" s="5">
        <v>0.6</v>
      </c>
      <c r="H13" s="5">
        <v>0.65</v>
      </c>
      <c r="I13" s="5">
        <v>0.45</v>
      </c>
      <c r="J13" s="5">
        <v>0.53</v>
      </c>
      <c r="K13" s="5">
        <v>0.75</v>
      </c>
      <c r="L13" s="9">
        <v>90.1</v>
      </c>
      <c r="M13" s="4">
        <v>91.7</v>
      </c>
      <c r="N13" s="14">
        <v>90.3</v>
      </c>
      <c r="O13" s="7">
        <v>11</v>
      </c>
      <c r="P13" s="54">
        <v>5040</v>
      </c>
      <c r="Q13" s="54">
        <v>5200</v>
      </c>
      <c r="R13" s="54">
        <v>4600</v>
      </c>
      <c r="S13" s="54">
        <v>3900</v>
      </c>
      <c r="T13" s="98">
        <v>5066</v>
      </c>
      <c r="U13" s="101">
        <v>0.59</v>
      </c>
      <c r="V13" s="67">
        <v>0.59</v>
      </c>
      <c r="W13" s="67">
        <v>0.68</v>
      </c>
      <c r="X13" s="67">
        <v>0.51</v>
      </c>
      <c r="Y13" s="67">
        <v>0.7</v>
      </c>
    </row>
    <row r="14" spans="1:25">
      <c r="A14" s="7">
        <v>15</v>
      </c>
      <c r="B14" s="3">
        <v>3000</v>
      </c>
      <c r="C14" s="3">
        <v>2500</v>
      </c>
      <c r="D14" s="3">
        <v>980</v>
      </c>
      <c r="E14" s="3">
        <v>725</v>
      </c>
      <c r="F14" s="3">
        <v>4050</v>
      </c>
      <c r="G14" s="5">
        <v>0.6</v>
      </c>
      <c r="H14" s="5">
        <v>0.65</v>
      </c>
      <c r="I14" s="5">
        <v>0.45</v>
      </c>
      <c r="J14" s="5">
        <v>0.49</v>
      </c>
      <c r="K14" s="5">
        <v>0.75</v>
      </c>
      <c r="L14" s="9">
        <v>90.9</v>
      </c>
      <c r="M14" s="4">
        <v>92.3</v>
      </c>
      <c r="N14" s="14">
        <v>91.2</v>
      </c>
      <c r="O14" s="7">
        <v>15</v>
      </c>
      <c r="P14" s="54">
        <v>5040</v>
      </c>
      <c r="Q14" s="54">
        <v>5200</v>
      </c>
      <c r="R14" s="54">
        <v>4600</v>
      </c>
      <c r="S14" s="54">
        <v>3900</v>
      </c>
      <c r="T14" s="98">
        <v>5066</v>
      </c>
      <c r="U14" s="101">
        <v>0.59</v>
      </c>
      <c r="V14" s="67">
        <v>0.59</v>
      </c>
      <c r="W14" s="67">
        <v>0.68</v>
      </c>
      <c r="X14" s="67">
        <v>0.51</v>
      </c>
      <c r="Y14" s="67">
        <v>0.7</v>
      </c>
    </row>
    <row r="15" spans="1:25">
      <c r="A15" s="7">
        <v>18.5</v>
      </c>
      <c r="B15" s="3">
        <v>3000</v>
      </c>
      <c r="C15" s="3">
        <v>2500</v>
      </c>
      <c r="D15" s="3">
        <v>980</v>
      </c>
      <c r="E15" s="3">
        <v>725</v>
      </c>
      <c r="F15" s="3">
        <v>4050</v>
      </c>
      <c r="G15" s="5">
        <v>0.6</v>
      </c>
      <c r="H15" s="5">
        <v>0.65</v>
      </c>
      <c r="I15" s="5">
        <v>0.45</v>
      </c>
      <c r="J15" s="5">
        <v>0.49</v>
      </c>
      <c r="K15" s="5">
        <v>0.75</v>
      </c>
      <c r="L15" s="9">
        <v>91.4</v>
      </c>
      <c r="M15" s="4">
        <v>92.7</v>
      </c>
      <c r="N15" s="14">
        <v>91.7</v>
      </c>
      <c r="O15" s="7">
        <v>18.5</v>
      </c>
      <c r="P15" s="54">
        <v>5040</v>
      </c>
      <c r="Q15" s="54">
        <v>5200</v>
      </c>
      <c r="R15" s="54">
        <v>4600</v>
      </c>
      <c r="S15" s="54">
        <v>3900</v>
      </c>
      <c r="T15" s="98">
        <v>5066</v>
      </c>
      <c r="U15" s="101">
        <v>0.59</v>
      </c>
      <c r="V15" s="67">
        <v>0.59</v>
      </c>
      <c r="W15" s="67">
        <v>0.68</v>
      </c>
      <c r="X15" s="67">
        <v>0.51</v>
      </c>
      <c r="Y15" s="67">
        <v>0.7</v>
      </c>
    </row>
    <row r="16" spans="1:25">
      <c r="A16" s="7">
        <v>22</v>
      </c>
      <c r="B16" s="3">
        <v>3000</v>
      </c>
      <c r="C16" s="3">
        <v>2500</v>
      </c>
      <c r="D16" s="3">
        <v>980</v>
      </c>
      <c r="E16" s="3">
        <v>725</v>
      </c>
      <c r="F16" s="3">
        <v>4050</v>
      </c>
      <c r="G16" s="5">
        <v>0.6</v>
      </c>
      <c r="H16" s="5">
        <v>0.65</v>
      </c>
      <c r="I16" s="5">
        <v>0.45</v>
      </c>
      <c r="J16" s="5">
        <v>0.49</v>
      </c>
      <c r="K16" s="5">
        <v>0.75</v>
      </c>
      <c r="L16" s="9">
        <v>91.7</v>
      </c>
      <c r="M16" s="4">
        <v>93.1</v>
      </c>
      <c r="N16" s="14">
        <v>92.2</v>
      </c>
      <c r="O16" s="7">
        <v>22</v>
      </c>
      <c r="P16" s="54">
        <v>5040</v>
      </c>
      <c r="Q16" s="54">
        <v>5200</v>
      </c>
      <c r="R16" s="54">
        <v>4600</v>
      </c>
      <c r="S16" s="54">
        <v>3900</v>
      </c>
      <c r="T16" s="98">
        <v>5066</v>
      </c>
      <c r="U16" s="101">
        <v>0.59</v>
      </c>
      <c r="V16" s="67">
        <v>0.59</v>
      </c>
      <c r="W16" s="67">
        <v>0.68</v>
      </c>
      <c r="X16" s="67">
        <v>0.51</v>
      </c>
      <c r="Y16" s="67">
        <v>0.7</v>
      </c>
    </row>
    <row r="17" spans="1:25">
      <c r="A17" s="7">
        <v>30</v>
      </c>
      <c r="B17" s="3">
        <v>3000</v>
      </c>
      <c r="C17" s="3">
        <v>2500</v>
      </c>
      <c r="D17" s="3">
        <v>980</v>
      </c>
      <c r="E17" s="3">
        <v>725</v>
      </c>
      <c r="F17" s="3">
        <v>4050</v>
      </c>
      <c r="G17" s="5">
        <v>0.6</v>
      </c>
      <c r="H17" s="5">
        <v>0.65</v>
      </c>
      <c r="I17" s="5">
        <v>0.45</v>
      </c>
      <c r="J17" s="5">
        <v>0.49</v>
      </c>
      <c r="K17" s="5">
        <v>0.75</v>
      </c>
      <c r="L17" s="9">
        <v>92.4</v>
      </c>
      <c r="M17" s="4">
        <v>93.6</v>
      </c>
      <c r="N17" s="14">
        <v>92.9</v>
      </c>
      <c r="O17" s="7">
        <v>30</v>
      </c>
      <c r="P17" s="97">
        <v>3000</v>
      </c>
      <c r="Q17" s="97">
        <v>2500</v>
      </c>
      <c r="R17" s="97">
        <v>2500</v>
      </c>
      <c r="S17" s="97">
        <v>2500</v>
      </c>
      <c r="T17" s="97">
        <v>4050</v>
      </c>
      <c r="U17" s="102">
        <v>0.6</v>
      </c>
      <c r="V17" s="102">
        <v>0.65</v>
      </c>
      <c r="W17" s="102">
        <v>0.45</v>
      </c>
      <c r="X17" s="104">
        <v>0.51</v>
      </c>
      <c r="Y17" s="104">
        <v>0.7</v>
      </c>
    </row>
    <row r="18" spans="1:25">
      <c r="A18" s="7">
        <v>37</v>
      </c>
      <c r="B18" s="3">
        <v>3000</v>
      </c>
      <c r="C18" s="3">
        <v>2500</v>
      </c>
      <c r="D18" s="3">
        <v>980</v>
      </c>
      <c r="E18" s="3">
        <v>725</v>
      </c>
      <c r="F18" s="3">
        <v>4050</v>
      </c>
      <c r="G18" s="5">
        <v>0.6</v>
      </c>
      <c r="H18" s="5">
        <v>0.65</v>
      </c>
      <c r="I18" s="5">
        <v>0.45</v>
      </c>
      <c r="J18" s="5">
        <v>0.49</v>
      </c>
      <c r="K18" s="5">
        <v>0.75</v>
      </c>
      <c r="L18" s="9">
        <v>92.8</v>
      </c>
      <c r="M18" s="4">
        <v>94</v>
      </c>
      <c r="N18" s="14">
        <v>93.3</v>
      </c>
      <c r="O18" s="7">
        <v>37</v>
      </c>
      <c r="P18" s="97">
        <v>3000</v>
      </c>
      <c r="Q18" s="97">
        <v>2500</v>
      </c>
      <c r="R18" s="97">
        <v>2500</v>
      </c>
      <c r="S18" s="97">
        <v>2500</v>
      </c>
      <c r="T18" s="97">
        <v>4050</v>
      </c>
      <c r="U18" s="102">
        <v>0.6</v>
      </c>
      <c r="V18" s="102">
        <v>0.65</v>
      </c>
      <c r="W18" s="102">
        <v>0.45</v>
      </c>
      <c r="X18" s="104">
        <v>0.51</v>
      </c>
      <c r="Y18" s="104">
        <v>0.7</v>
      </c>
    </row>
    <row r="19" spans="1:25">
      <c r="A19" s="7">
        <v>45</v>
      </c>
      <c r="B19" s="3">
        <v>3000</v>
      </c>
      <c r="C19" s="3">
        <v>2500</v>
      </c>
      <c r="D19" s="3">
        <v>980</v>
      </c>
      <c r="E19" s="3">
        <v>725</v>
      </c>
      <c r="F19" s="3">
        <v>4050</v>
      </c>
      <c r="G19" s="5">
        <v>0.6</v>
      </c>
      <c r="H19" s="5">
        <v>0.65</v>
      </c>
      <c r="I19" s="5">
        <v>0.45</v>
      </c>
      <c r="J19" s="5">
        <v>0.49</v>
      </c>
      <c r="K19" s="5">
        <v>0.75</v>
      </c>
      <c r="L19" s="9">
        <v>93.1</v>
      </c>
      <c r="M19" s="4">
        <v>94.3</v>
      </c>
      <c r="N19" s="14">
        <v>93.7</v>
      </c>
      <c r="O19" s="7">
        <v>45</v>
      </c>
      <c r="P19" s="97">
        <v>3000</v>
      </c>
      <c r="Q19" s="97">
        <v>2500</v>
      </c>
      <c r="R19" s="97">
        <v>2500</v>
      </c>
      <c r="S19" s="97">
        <v>2500</v>
      </c>
      <c r="T19" s="97">
        <v>4050</v>
      </c>
      <c r="U19" s="102">
        <v>0.6</v>
      </c>
      <c r="V19" s="102">
        <v>0.65</v>
      </c>
      <c r="W19" s="102">
        <v>0.45</v>
      </c>
      <c r="X19" s="104">
        <v>0.51</v>
      </c>
      <c r="Y19" s="104">
        <v>0.7</v>
      </c>
    </row>
    <row r="20" spans="1:25">
      <c r="A20" s="7">
        <v>55</v>
      </c>
      <c r="B20" s="3">
        <v>3000</v>
      </c>
      <c r="C20" s="3">
        <v>2500</v>
      </c>
      <c r="D20" s="3">
        <v>980</v>
      </c>
      <c r="E20" s="3">
        <v>725</v>
      </c>
      <c r="F20" s="3">
        <v>4050</v>
      </c>
      <c r="G20" s="5">
        <v>0.6</v>
      </c>
      <c r="H20" s="5">
        <v>0.65</v>
      </c>
      <c r="I20" s="5">
        <v>0.45</v>
      </c>
      <c r="J20" s="5">
        <v>0.49</v>
      </c>
      <c r="K20" s="5">
        <v>0.75</v>
      </c>
      <c r="L20" s="9">
        <v>93.5</v>
      </c>
      <c r="M20" s="4">
        <v>94.5</v>
      </c>
      <c r="N20" s="14">
        <v>94.1</v>
      </c>
      <c r="O20" s="7">
        <v>55</v>
      </c>
      <c r="P20" s="97">
        <v>3000</v>
      </c>
      <c r="Q20" s="97">
        <v>2500</v>
      </c>
      <c r="R20" s="97">
        <v>2500</v>
      </c>
      <c r="S20" s="97">
        <v>2500</v>
      </c>
      <c r="T20" s="97">
        <v>4050</v>
      </c>
      <c r="U20" s="102">
        <v>0.6</v>
      </c>
      <c r="V20" s="102">
        <v>0.65</v>
      </c>
      <c r="W20" s="102">
        <v>0.45</v>
      </c>
      <c r="X20" s="104">
        <v>0.51</v>
      </c>
      <c r="Y20" s="104">
        <v>0.7</v>
      </c>
    </row>
    <row r="21" spans="1:25">
      <c r="A21" s="7">
        <v>75</v>
      </c>
      <c r="B21" s="3">
        <v>3000</v>
      </c>
      <c r="C21" s="3">
        <v>2500</v>
      </c>
      <c r="D21" s="3">
        <v>980</v>
      </c>
      <c r="E21" s="3">
        <v>725</v>
      </c>
      <c r="F21" s="3">
        <v>4050</v>
      </c>
      <c r="G21" s="5">
        <v>0.6</v>
      </c>
      <c r="H21" s="5">
        <v>0.65</v>
      </c>
      <c r="I21" s="5">
        <v>0.45</v>
      </c>
      <c r="J21" s="5">
        <v>0.49</v>
      </c>
      <c r="K21" s="5">
        <v>0.75</v>
      </c>
      <c r="L21" s="9">
        <v>94</v>
      </c>
      <c r="M21" s="4">
        <v>95</v>
      </c>
      <c r="N21" s="14">
        <v>94.6</v>
      </c>
      <c r="O21" s="7">
        <v>75</v>
      </c>
      <c r="P21" s="97">
        <v>3000</v>
      </c>
      <c r="Q21" s="97">
        <v>2500</v>
      </c>
      <c r="R21" s="97">
        <v>2500</v>
      </c>
      <c r="S21" s="97">
        <v>2500</v>
      </c>
      <c r="T21" s="97">
        <v>4050</v>
      </c>
      <c r="U21" s="102">
        <v>0.6</v>
      </c>
      <c r="V21" s="102">
        <v>0.65</v>
      </c>
      <c r="W21" s="102">
        <v>0.45</v>
      </c>
      <c r="X21" s="104">
        <v>0.51</v>
      </c>
      <c r="Y21" s="104">
        <v>0.7</v>
      </c>
    </row>
    <row r="22" spans="1:25">
      <c r="A22" s="7">
        <v>90</v>
      </c>
      <c r="B22" s="3">
        <v>3000</v>
      </c>
      <c r="C22" s="3">
        <v>2500</v>
      </c>
      <c r="D22" s="3">
        <v>980</v>
      </c>
      <c r="E22" s="3">
        <v>725</v>
      </c>
      <c r="F22" s="3">
        <v>4050</v>
      </c>
      <c r="G22" s="5">
        <v>0.6</v>
      </c>
      <c r="H22" s="5">
        <v>0.65</v>
      </c>
      <c r="I22" s="5">
        <v>0.45</v>
      </c>
      <c r="J22" s="5">
        <v>0.49</v>
      </c>
      <c r="K22" s="5">
        <v>0.75</v>
      </c>
      <c r="L22" s="9">
        <v>94.2</v>
      </c>
      <c r="M22" s="4">
        <v>95.2</v>
      </c>
      <c r="N22" s="14">
        <v>94.9</v>
      </c>
      <c r="O22" s="7">
        <v>90</v>
      </c>
      <c r="P22" s="97">
        <v>3000</v>
      </c>
      <c r="Q22" s="97">
        <v>2500</v>
      </c>
      <c r="R22" s="97">
        <v>2500</v>
      </c>
      <c r="S22" s="97">
        <v>2500</v>
      </c>
      <c r="T22" s="97">
        <v>4050</v>
      </c>
      <c r="U22" s="102">
        <v>0.6</v>
      </c>
      <c r="V22" s="102">
        <v>0.65</v>
      </c>
      <c r="W22" s="102">
        <v>0.45</v>
      </c>
      <c r="X22" s="104">
        <v>0.51</v>
      </c>
      <c r="Y22" s="104">
        <v>0.7</v>
      </c>
    </row>
    <row r="23" spans="1:25">
      <c r="A23" s="7">
        <v>110</v>
      </c>
      <c r="B23" s="3">
        <v>3000</v>
      </c>
      <c r="C23" s="3">
        <v>2500</v>
      </c>
      <c r="D23" s="3">
        <v>980</v>
      </c>
      <c r="E23" s="3">
        <v>725</v>
      </c>
      <c r="F23" s="3">
        <v>4050</v>
      </c>
      <c r="G23" s="5">
        <v>0.6</v>
      </c>
      <c r="H23" s="5">
        <v>0.65</v>
      </c>
      <c r="I23" s="5">
        <v>0.45</v>
      </c>
      <c r="J23" s="5">
        <v>0.49</v>
      </c>
      <c r="K23" s="5">
        <v>0.75</v>
      </c>
      <c r="L23" s="9">
        <v>94.5</v>
      </c>
      <c r="M23" s="4">
        <v>95.4</v>
      </c>
      <c r="N23" s="14">
        <v>95.1</v>
      </c>
      <c r="O23" s="7">
        <v>110</v>
      </c>
      <c r="P23" s="97">
        <v>3000</v>
      </c>
      <c r="Q23" s="97">
        <v>2500</v>
      </c>
      <c r="R23" s="97">
        <v>2500</v>
      </c>
      <c r="S23" s="97">
        <v>2500</v>
      </c>
      <c r="T23" s="97">
        <v>4050</v>
      </c>
      <c r="U23" s="102">
        <v>0.6</v>
      </c>
      <c r="V23" s="102">
        <v>0.65</v>
      </c>
      <c r="W23" s="102">
        <v>0.45</v>
      </c>
      <c r="X23" s="104">
        <v>0.51</v>
      </c>
      <c r="Y23" s="104">
        <v>0.7</v>
      </c>
    </row>
    <row r="24" spans="1:25">
      <c r="A24" s="7">
        <v>132</v>
      </c>
      <c r="B24" s="3">
        <v>3000</v>
      </c>
      <c r="C24" s="3">
        <v>2500</v>
      </c>
      <c r="D24" s="3">
        <v>980</v>
      </c>
      <c r="E24" s="3">
        <v>725</v>
      </c>
      <c r="F24" s="3">
        <v>4050</v>
      </c>
      <c r="G24" s="5">
        <v>0.6</v>
      </c>
      <c r="H24" s="5">
        <v>0.65</v>
      </c>
      <c r="I24" s="5">
        <v>0.45</v>
      </c>
      <c r="J24" s="5">
        <v>0.49</v>
      </c>
      <c r="K24" s="5">
        <v>0.75</v>
      </c>
      <c r="L24" s="9">
        <v>94.7</v>
      </c>
      <c r="M24" s="4">
        <v>95.6</v>
      </c>
      <c r="N24" s="14">
        <v>95.4</v>
      </c>
      <c r="O24" s="7">
        <v>132</v>
      </c>
      <c r="P24" s="97">
        <v>3000</v>
      </c>
      <c r="Q24" s="97">
        <v>2500</v>
      </c>
      <c r="R24" s="97">
        <v>2500</v>
      </c>
      <c r="S24" s="97">
        <v>2500</v>
      </c>
      <c r="T24" s="97">
        <v>4050</v>
      </c>
      <c r="U24" s="102">
        <v>0.6</v>
      </c>
      <c r="V24" s="102">
        <v>0.65</v>
      </c>
      <c r="W24" s="102">
        <v>0.45</v>
      </c>
      <c r="X24" s="104">
        <v>0.51</v>
      </c>
      <c r="Y24" s="104">
        <v>0.7</v>
      </c>
    </row>
    <row r="25" spans="1:25">
      <c r="A25" s="7">
        <v>160</v>
      </c>
      <c r="B25" s="3">
        <v>3000</v>
      </c>
      <c r="C25" s="3">
        <v>2500</v>
      </c>
      <c r="D25" s="3">
        <v>980</v>
      </c>
      <c r="E25" s="3">
        <v>725</v>
      </c>
      <c r="F25" s="3">
        <v>4050</v>
      </c>
      <c r="G25" s="5">
        <v>0.6</v>
      </c>
      <c r="H25" s="5">
        <v>0.65</v>
      </c>
      <c r="I25" s="5">
        <v>0.45</v>
      </c>
      <c r="J25" s="5">
        <v>0.49</v>
      </c>
      <c r="K25" s="5">
        <v>0.75</v>
      </c>
      <c r="L25" s="9">
        <v>94.9</v>
      </c>
      <c r="M25" s="4">
        <v>95.8</v>
      </c>
      <c r="N25" s="14">
        <v>95.6</v>
      </c>
      <c r="O25" s="7">
        <v>160</v>
      </c>
      <c r="P25" s="97">
        <v>3000</v>
      </c>
      <c r="Q25" s="97">
        <v>2500</v>
      </c>
      <c r="R25" s="97">
        <v>2500</v>
      </c>
      <c r="S25" s="97">
        <v>2500</v>
      </c>
      <c r="T25" s="97">
        <v>4050</v>
      </c>
      <c r="U25" s="102">
        <v>0.6</v>
      </c>
      <c r="V25" s="102">
        <v>0.65</v>
      </c>
      <c r="W25" s="102">
        <v>0.45</v>
      </c>
      <c r="X25" s="104">
        <v>0.51</v>
      </c>
      <c r="Y25" s="104">
        <v>0.7</v>
      </c>
    </row>
    <row r="26" spans="1:25">
      <c r="A26" s="7">
        <v>200</v>
      </c>
      <c r="B26" s="3">
        <v>3000</v>
      </c>
      <c r="C26" s="3">
        <v>2500</v>
      </c>
      <c r="D26" s="3">
        <v>980</v>
      </c>
      <c r="E26" s="3">
        <v>725</v>
      </c>
      <c r="F26" s="3">
        <v>4050</v>
      </c>
      <c r="G26" s="5">
        <v>0.6</v>
      </c>
      <c r="H26" s="5">
        <v>0.65</v>
      </c>
      <c r="I26" s="5">
        <v>0.45</v>
      </c>
      <c r="J26" s="5">
        <v>0.49</v>
      </c>
      <c r="K26" s="5">
        <v>0.75</v>
      </c>
      <c r="L26" s="9">
        <v>95.1</v>
      </c>
      <c r="M26" s="4">
        <v>96</v>
      </c>
      <c r="N26" s="14">
        <v>95.8</v>
      </c>
      <c r="O26" s="7">
        <v>200</v>
      </c>
      <c r="P26" s="97">
        <v>3000</v>
      </c>
      <c r="Q26" s="97">
        <v>2500</v>
      </c>
      <c r="R26" s="97">
        <v>2500</v>
      </c>
      <c r="S26" s="97">
        <v>2500</v>
      </c>
      <c r="T26" s="97">
        <v>4050</v>
      </c>
      <c r="U26" s="102">
        <v>0.6</v>
      </c>
      <c r="V26" s="102">
        <v>0.65</v>
      </c>
      <c r="W26" s="102">
        <v>0.45</v>
      </c>
      <c r="X26" s="104">
        <v>0.51</v>
      </c>
      <c r="Y26" s="104">
        <v>0.7</v>
      </c>
    </row>
    <row r="27" spans="1:25">
      <c r="A27" s="7">
        <v>375</v>
      </c>
      <c r="B27" s="3">
        <v>3000</v>
      </c>
      <c r="C27" s="3">
        <v>2500</v>
      </c>
      <c r="D27" s="3">
        <v>980</v>
      </c>
      <c r="E27" s="3">
        <v>725</v>
      </c>
      <c r="F27" s="3">
        <v>4050</v>
      </c>
      <c r="G27" s="5">
        <v>0.6</v>
      </c>
      <c r="H27" s="5">
        <v>0.65</v>
      </c>
      <c r="I27" s="5">
        <v>0.45</v>
      </c>
      <c r="J27" s="5">
        <v>0.49</v>
      </c>
      <c r="K27" s="5">
        <v>0.75</v>
      </c>
      <c r="L27" s="9">
        <v>95.8</v>
      </c>
      <c r="M27" s="4">
        <v>96</v>
      </c>
      <c r="N27" s="14">
        <v>95.8</v>
      </c>
      <c r="O27" s="7">
        <v>375</v>
      </c>
      <c r="P27" s="97">
        <v>3000</v>
      </c>
      <c r="Q27" s="97">
        <v>2500</v>
      </c>
      <c r="R27" s="97">
        <v>2500</v>
      </c>
      <c r="S27" s="97">
        <v>2500</v>
      </c>
      <c r="T27" s="97">
        <v>4050</v>
      </c>
      <c r="U27" s="102">
        <v>0.6</v>
      </c>
      <c r="V27" s="102">
        <v>0.65</v>
      </c>
      <c r="W27" s="102">
        <v>0.45</v>
      </c>
      <c r="X27" s="104">
        <v>0.51</v>
      </c>
      <c r="Y27" s="104">
        <v>0.7</v>
      </c>
    </row>
    <row r="28" spans="1:25">
      <c r="A28" s="7">
        <v>400</v>
      </c>
      <c r="B28" s="3">
        <v>3000</v>
      </c>
      <c r="C28" s="3">
        <v>2500</v>
      </c>
      <c r="D28" s="3">
        <v>980</v>
      </c>
      <c r="E28" s="3">
        <v>725</v>
      </c>
      <c r="F28" s="3">
        <v>4050</v>
      </c>
      <c r="G28" s="5">
        <v>0.6</v>
      </c>
      <c r="H28" s="5">
        <v>0.65</v>
      </c>
      <c r="I28" s="5">
        <v>0.45</v>
      </c>
      <c r="J28" s="5">
        <v>0.49</v>
      </c>
      <c r="K28" s="5">
        <v>0.75</v>
      </c>
      <c r="L28" s="9">
        <v>96</v>
      </c>
      <c r="M28" s="4">
        <v>96</v>
      </c>
      <c r="N28" s="14">
        <v>96</v>
      </c>
      <c r="O28" s="7">
        <v>400</v>
      </c>
      <c r="P28" s="97">
        <v>3000</v>
      </c>
      <c r="Q28" s="97">
        <v>2500</v>
      </c>
      <c r="R28" s="97">
        <v>2500</v>
      </c>
      <c r="S28" s="97">
        <v>2500</v>
      </c>
      <c r="T28" s="97">
        <v>4050</v>
      </c>
      <c r="U28" s="102">
        <v>0.6</v>
      </c>
      <c r="V28" s="102">
        <v>0.65</v>
      </c>
      <c r="W28" s="102">
        <v>0.45</v>
      </c>
      <c r="X28" s="104">
        <v>0.51</v>
      </c>
      <c r="Y28" s="104">
        <v>0.7</v>
      </c>
    </row>
    <row r="30" spans="1:25">
      <c r="T30" s="99"/>
      <c r="U30" t="s">
        <v>76</v>
      </c>
    </row>
    <row r="31" spans="1:25">
      <c r="T31" s="100"/>
      <c r="U31" t="s">
        <v>77</v>
      </c>
    </row>
    <row r="32" spans="1:25">
      <c r="T32" s="103"/>
      <c r="U32" t="s">
        <v>78</v>
      </c>
    </row>
  </sheetData>
  <mergeCells count="6">
    <mergeCell ref="B2:F2"/>
    <mergeCell ref="G2:K2"/>
    <mergeCell ref="B1:K1"/>
    <mergeCell ref="P1:Y1"/>
    <mergeCell ref="P2:T2"/>
    <mergeCell ref="U2:Y2"/>
  </mergeCells>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3"/>
  <dimension ref="A1:C7"/>
  <sheetViews>
    <sheetView workbookViewId="0">
      <selection activeCell="D28" sqref="D28"/>
    </sheetView>
  </sheetViews>
  <sheetFormatPr defaultRowHeight="15"/>
  <cols>
    <col min="1" max="1" width="14.28515625" bestFit="1" customWidth="1"/>
    <col min="3" max="3" width="7.85546875" bestFit="1" customWidth="1"/>
  </cols>
  <sheetData>
    <row r="1" spans="1:3" ht="45">
      <c r="A1" s="206" t="s">
        <v>12</v>
      </c>
      <c r="B1" s="206"/>
      <c r="C1" s="10" t="s">
        <v>18</v>
      </c>
    </row>
    <row r="2" spans="1:3">
      <c r="A2" s="155" t="s">
        <v>13</v>
      </c>
      <c r="B2" s="155"/>
      <c r="C2" s="9">
        <v>0.28000000000000003</v>
      </c>
    </row>
    <row r="3" spans="1:3">
      <c r="A3" s="155" t="s">
        <v>14</v>
      </c>
      <c r="B3" s="155"/>
      <c r="C3" s="9">
        <v>0.28000000000000003</v>
      </c>
    </row>
    <row r="4" spans="1:3">
      <c r="A4" s="208" t="s">
        <v>15</v>
      </c>
      <c r="B4" s="209"/>
      <c r="C4" s="9">
        <v>0.12</v>
      </c>
    </row>
    <row r="5" spans="1:3">
      <c r="A5" s="155" t="s">
        <v>16</v>
      </c>
      <c r="B5" s="155"/>
      <c r="C5" s="9">
        <v>0.12</v>
      </c>
    </row>
    <row r="6" spans="1:3">
      <c r="A6" s="155" t="s">
        <v>2</v>
      </c>
      <c r="B6" s="155"/>
      <c r="C6" s="9">
        <v>0.12</v>
      </c>
    </row>
    <row r="7" spans="1:3">
      <c r="A7" s="155" t="s">
        <v>17</v>
      </c>
      <c r="B7" s="155"/>
      <c r="C7" s="9">
        <v>0.12</v>
      </c>
    </row>
  </sheetData>
  <mergeCells count="7">
    <mergeCell ref="A7:B7"/>
    <mergeCell ref="A1:B1"/>
    <mergeCell ref="A2:B2"/>
    <mergeCell ref="A3:B3"/>
    <mergeCell ref="A6:B6"/>
    <mergeCell ref="A5:B5"/>
    <mergeCell ref="A4:B4"/>
  </mergeCells>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8"/>
  <dimension ref="A1:C26"/>
  <sheetViews>
    <sheetView workbookViewId="0">
      <selection sqref="A1:C26"/>
    </sheetView>
  </sheetViews>
  <sheetFormatPr defaultRowHeight="15"/>
  <sheetData>
    <row r="1" spans="1:3">
      <c r="A1" s="210" t="s">
        <v>3</v>
      </c>
      <c r="B1" s="210"/>
      <c r="C1" s="210"/>
    </row>
    <row r="2" spans="1:3">
      <c r="A2" s="9">
        <v>2</v>
      </c>
      <c r="B2" s="14">
        <v>4</v>
      </c>
      <c r="C2" s="14">
        <v>6</v>
      </c>
    </row>
    <row r="3" spans="1:3">
      <c r="A3" s="9">
        <v>80.7</v>
      </c>
      <c r="B3" s="4">
        <v>82.5</v>
      </c>
      <c r="C3" s="14">
        <v>78.900000000000006</v>
      </c>
    </row>
    <row r="4" spans="1:3">
      <c r="A4" s="9">
        <v>82.7</v>
      </c>
      <c r="B4" s="4">
        <v>84.1</v>
      </c>
      <c r="C4" s="14">
        <v>81</v>
      </c>
    </row>
    <row r="5" spans="1:3">
      <c r="A5" s="9">
        <v>84.2</v>
      </c>
      <c r="B5" s="4">
        <v>85.3</v>
      </c>
      <c r="C5" s="14">
        <v>82.5</v>
      </c>
    </row>
    <row r="6" spans="1:3">
      <c r="A6" s="9">
        <v>85.9</v>
      </c>
      <c r="B6" s="4">
        <v>86.7</v>
      </c>
      <c r="C6" s="14">
        <v>84.3</v>
      </c>
    </row>
    <row r="7" spans="1:3">
      <c r="A7" s="9">
        <v>87.1</v>
      </c>
      <c r="B7" s="4">
        <v>87.7</v>
      </c>
      <c r="C7" s="14">
        <v>85.6</v>
      </c>
    </row>
    <row r="8" spans="1:3">
      <c r="A8" s="9">
        <v>88.1</v>
      </c>
      <c r="B8" s="4">
        <v>88.6</v>
      </c>
      <c r="C8" s="14">
        <v>86.8</v>
      </c>
    </row>
    <row r="9" spans="1:3">
      <c r="A9" s="9">
        <v>89.2</v>
      </c>
      <c r="B9" s="4">
        <v>89.6</v>
      </c>
      <c r="C9" s="14">
        <v>88</v>
      </c>
    </row>
    <row r="10" spans="1:3">
      <c r="A10" s="9">
        <v>90.1</v>
      </c>
      <c r="B10" s="4">
        <v>90.4</v>
      </c>
      <c r="C10" s="14">
        <v>89.1</v>
      </c>
    </row>
    <row r="11" spans="1:3">
      <c r="A11" s="9">
        <v>91.2</v>
      </c>
      <c r="B11" s="4">
        <v>91.4</v>
      </c>
      <c r="C11" s="14">
        <v>90.3</v>
      </c>
    </row>
    <row r="12" spans="1:3">
      <c r="A12" s="9">
        <v>91.9</v>
      </c>
      <c r="B12" s="4">
        <v>92.1</v>
      </c>
      <c r="C12" s="14">
        <v>91.2</v>
      </c>
    </row>
    <row r="13" spans="1:3">
      <c r="A13" s="9">
        <v>92.4</v>
      </c>
      <c r="B13" s="4">
        <v>92.6</v>
      </c>
      <c r="C13" s="14">
        <v>91.7</v>
      </c>
    </row>
    <row r="14" spans="1:3">
      <c r="A14" s="9">
        <v>92.7</v>
      </c>
      <c r="B14" s="4">
        <v>93</v>
      </c>
      <c r="C14" s="14">
        <v>92.2</v>
      </c>
    </row>
    <row r="15" spans="1:3">
      <c r="A15" s="9">
        <v>93.3</v>
      </c>
      <c r="B15" s="4">
        <v>93.6</v>
      </c>
      <c r="C15" s="14">
        <v>92.9</v>
      </c>
    </row>
    <row r="16" spans="1:3">
      <c r="A16" s="9">
        <v>93.7</v>
      </c>
      <c r="B16" s="4">
        <v>93.9</v>
      </c>
      <c r="C16" s="14">
        <v>93.3</v>
      </c>
    </row>
    <row r="17" spans="1:3">
      <c r="A17" s="9">
        <v>94</v>
      </c>
      <c r="B17" s="4">
        <v>94.2</v>
      </c>
      <c r="C17" s="14">
        <v>93.7</v>
      </c>
    </row>
    <row r="18" spans="1:3">
      <c r="A18" s="9">
        <v>94.3</v>
      </c>
      <c r="B18" s="4">
        <v>94.6</v>
      </c>
      <c r="C18" s="14">
        <v>94.1</v>
      </c>
    </row>
    <row r="19" spans="1:3">
      <c r="A19" s="9">
        <v>94.7</v>
      </c>
      <c r="B19" s="4">
        <v>95</v>
      </c>
      <c r="C19" s="14">
        <v>94.6</v>
      </c>
    </row>
    <row r="20" spans="1:3">
      <c r="A20" s="9">
        <v>95</v>
      </c>
      <c r="B20" s="4">
        <v>95.2</v>
      </c>
      <c r="C20" s="14">
        <v>94.9</v>
      </c>
    </row>
    <row r="21" spans="1:3">
      <c r="A21" s="9">
        <v>95.2</v>
      </c>
      <c r="B21" s="4">
        <v>95.4</v>
      </c>
      <c r="C21" s="14">
        <v>95.1</v>
      </c>
    </row>
    <row r="22" spans="1:3">
      <c r="A22" s="9">
        <v>95.4</v>
      </c>
      <c r="B22" s="4">
        <v>95.6</v>
      </c>
      <c r="C22" s="14">
        <v>95.4</v>
      </c>
    </row>
    <row r="23" spans="1:3">
      <c r="A23" s="9">
        <v>95.6</v>
      </c>
      <c r="B23" s="4">
        <v>95.8</v>
      </c>
      <c r="C23" s="14">
        <v>95.6</v>
      </c>
    </row>
    <row r="24" spans="1:3">
      <c r="A24" s="9">
        <v>95.8</v>
      </c>
      <c r="B24" s="4">
        <v>96</v>
      </c>
      <c r="C24" s="14">
        <v>95.8</v>
      </c>
    </row>
    <row r="25" spans="1:3">
      <c r="A25" s="9">
        <v>95.8</v>
      </c>
      <c r="B25" s="4">
        <v>96</v>
      </c>
      <c r="C25" s="14">
        <v>95.8</v>
      </c>
    </row>
    <row r="26" spans="1:3">
      <c r="A26" s="9">
        <v>96</v>
      </c>
      <c r="B26" s="4">
        <v>96</v>
      </c>
      <c r="C26" s="14">
        <v>96</v>
      </c>
    </row>
  </sheetData>
  <mergeCells count="1">
    <mergeCell ref="A1:C1"/>
  </mergeCells>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Sheet9"/>
  <dimension ref="A3:R34"/>
  <sheetViews>
    <sheetView topLeftCell="B2" workbookViewId="0">
      <selection activeCell="H27" sqref="H27"/>
    </sheetView>
  </sheetViews>
  <sheetFormatPr defaultRowHeight="15"/>
  <cols>
    <col min="1" max="1" width="9.140625" style="128"/>
    <col min="2" max="2" width="15" style="128" customWidth="1"/>
    <col min="3" max="6" width="9.140625" style="128"/>
    <col min="7" max="7" width="13.28515625" style="128" customWidth="1"/>
    <col min="8" max="8" width="14.42578125" style="128" customWidth="1"/>
    <col min="9" max="9" width="12.7109375" style="128" customWidth="1"/>
    <col min="10" max="15" width="9.140625" style="128"/>
    <col min="16" max="16" width="11" style="128" bestFit="1" customWidth="1"/>
    <col min="17" max="16384" width="9.140625" style="128"/>
  </cols>
  <sheetData>
    <row r="3" spans="1:18">
      <c r="B3" s="212" t="s">
        <v>72</v>
      </c>
      <c r="C3" s="212"/>
      <c r="F3" s="211" t="s">
        <v>60</v>
      </c>
      <c r="G3" s="211"/>
      <c r="H3" s="211"/>
      <c r="I3" s="211"/>
      <c r="J3" s="211"/>
      <c r="L3" s="128" t="s">
        <v>67</v>
      </c>
    </row>
    <row r="4" spans="1:18" ht="60" customHeight="1">
      <c r="B4" s="128" t="s">
        <v>71</v>
      </c>
      <c r="C4" s="128" t="s">
        <v>56</v>
      </c>
      <c r="F4" s="129" t="s">
        <v>61</v>
      </c>
      <c r="G4" s="129" t="s">
        <v>62</v>
      </c>
      <c r="H4" s="129" t="s">
        <v>64</v>
      </c>
      <c r="I4" s="129" t="s">
        <v>63</v>
      </c>
      <c r="J4" s="129" t="s">
        <v>65</v>
      </c>
      <c r="L4" s="129" t="s">
        <v>63</v>
      </c>
      <c r="M4" s="129" t="s">
        <v>62</v>
      </c>
      <c r="N4" s="130" t="s">
        <v>66</v>
      </c>
      <c r="P4" s="129" t="s">
        <v>68</v>
      </c>
      <c r="Q4" s="129" t="s">
        <v>69</v>
      </c>
      <c r="R4" s="130" t="s">
        <v>70</v>
      </c>
    </row>
    <row r="5" spans="1:18">
      <c r="A5" s="131">
        <v>331</v>
      </c>
      <c r="B5" s="131" t="s">
        <v>19</v>
      </c>
      <c r="C5" s="131" t="s">
        <v>19</v>
      </c>
      <c r="D5" s="131"/>
      <c r="F5" s="132">
        <v>0.75</v>
      </c>
      <c r="G5" s="133"/>
      <c r="H5" s="133"/>
      <c r="I5" s="133">
        <v>222</v>
      </c>
      <c r="J5" s="133">
        <v>250</v>
      </c>
      <c r="L5" s="134">
        <v>258</v>
      </c>
      <c r="M5" s="135">
        <v>331</v>
      </c>
      <c r="N5" s="136">
        <f>M5+L5</f>
        <v>589</v>
      </c>
      <c r="P5" s="137">
        <f>'Payback Calculator'!D9</f>
        <v>240</v>
      </c>
      <c r="Q5" s="137">
        <f>'Payback Calculator'!E9</f>
        <v>331</v>
      </c>
      <c r="R5" s="137">
        <f>'Payback Calculator'!F9</f>
        <v>571</v>
      </c>
    </row>
    <row r="6" spans="1:18">
      <c r="A6" s="131">
        <v>465</v>
      </c>
      <c r="B6" s="131" t="s">
        <v>20</v>
      </c>
      <c r="C6" s="131" t="s">
        <v>20</v>
      </c>
      <c r="D6" s="131"/>
      <c r="F6" s="132">
        <v>1.1000000000000001</v>
      </c>
      <c r="G6" s="133"/>
      <c r="H6" s="133"/>
      <c r="I6" s="133">
        <v>246</v>
      </c>
      <c r="J6" s="133">
        <v>250</v>
      </c>
      <c r="L6" s="134">
        <v>296</v>
      </c>
      <c r="M6" s="135">
        <v>465</v>
      </c>
      <c r="N6" s="136">
        <f t="shared" ref="N6:N28" si="0">M6+L6</f>
        <v>761</v>
      </c>
      <c r="P6" s="137">
        <f>'Payback Calculator'!D10</f>
        <v>271</v>
      </c>
      <c r="Q6" s="137">
        <f>'Payback Calculator'!E10</f>
        <v>465</v>
      </c>
      <c r="R6" s="137">
        <f>'Payback Calculator'!F10</f>
        <v>736</v>
      </c>
    </row>
    <row r="7" spans="1:18">
      <c r="A7" s="131">
        <v>489</v>
      </c>
      <c r="B7" s="131" t="s">
        <v>21</v>
      </c>
      <c r="C7" s="131" t="s">
        <v>21</v>
      </c>
      <c r="D7" s="131"/>
      <c r="F7" s="132">
        <v>1.5</v>
      </c>
      <c r="G7" s="133"/>
      <c r="H7" s="133"/>
      <c r="I7" s="133">
        <v>321</v>
      </c>
      <c r="J7" s="133">
        <v>250</v>
      </c>
      <c r="L7" s="134">
        <v>329</v>
      </c>
      <c r="M7" s="135">
        <v>489</v>
      </c>
      <c r="N7" s="136">
        <f t="shared" si="0"/>
        <v>818</v>
      </c>
      <c r="P7" s="137">
        <f>'Payback Calculator'!D11</f>
        <v>325</v>
      </c>
      <c r="Q7" s="137">
        <f>'Payback Calculator'!E11</f>
        <v>489</v>
      </c>
      <c r="R7" s="137">
        <f>'Payback Calculator'!F11</f>
        <v>814</v>
      </c>
    </row>
    <row r="8" spans="1:18">
      <c r="A8" s="131">
        <v>559</v>
      </c>
      <c r="B8" s="131" t="s">
        <v>22</v>
      </c>
      <c r="C8" s="131" t="s">
        <v>22</v>
      </c>
      <c r="D8" s="131"/>
      <c r="F8" s="132">
        <v>2.2000000000000002</v>
      </c>
      <c r="G8" s="133"/>
      <c r="H8" s="133"/>
      <c r="I8" s="133">
        <v>354</v>
      </c>
      <c r="J8" s="133">
        <v>250</v>
      </c>
      <c r="L8" s="134">
        <v>401</v>
      </c>
      <c r="M8" s="135">
        <v>559</v>
      </c>
      <c r="N8" s="136">
        <f t="shared" si="0"/>
        <v>960</v>
      </c>
      <c r="P8" s="137">
        <f>'Payback Calculator'!D12</f>
        <v>377.5</v>
      </c>
      <c r="Q8" s="137">
        <f>'Payback Calculator'!E12</f>
        <v>559</v>
      </c>
      <c r="R8" s="137">
        <f>'Payback Calculator'!F12</f>
        <v>936.5</v>
      </c>
    </row>
    <row r="9" spans="1:18">
      <c r="A9" s="131">
        <v>626</v>
      </c>
      <c r="B9" s="131" t="s">
        <v>23</v>
      </c>
      <c r="C9" s="131" t="s">
        <v>23</v>
      </c>
      <c r="D9" s="131"/>
      <c r="F9" s="132">
        <v>3</v>
      </c>
      <c r="G9" s="133"/>
      <c r="H9" s="133"/>
      <c r="I9" s="133">
        <v>455</v>
      </c>
      <c r="J9" s="133">
        <v>250</v>
      </c>
      <c r="L9" s="134">
        <v>826</v>
      </c>
      <c r="M9" s="135">
        <v>626</v>
      </c>
      <c r="N9" s="136">
        <f t="shared" si="0"/>
        <v>1452</v>
      </c>
      <c r="P9" s="137">
        <f>'Payback Calculator'!D13</f>
        <v>640.5</v>
      </c>
      <c r="Q9" s="137">
        <f>'Payback Calculator'!E13</f>
        <v>626</v>
      </c>
      <c r="R9" s="137">
        <f>'Payback Calculator'!F13</f>
        <v>1266.5</v>
      </c>
    </row>
    <row r="10" spans="1:18">
      <c r="A10" s="131">
        <v>740</v>
      </c>
      <c r="B10" s="131" t="s">
        <v>24</v>
      </c>
      <c r="C10" s="131" t="s">
        <v>24</v>
      </c>
      <c r="D10" s="131"/>
      <c r="F10" s="132">
        <v>4</v>
      </c>
      <c r="G10" s="133"/>
      <c r="H10" s="133"/>
      <c r="I10" s="133">
        <v>518</v>
      </c>
      <c r="J10" s="133">
        <v>250</v>
      </c>
      <c r="L10" s="134">
        <v>826</v>
      </c>
      <c r="M10" s="135">
        <v>740</v>
      </c>
      <c r="N10" s="136">
        <f t="shared" si="0"/>
        <v>1566</v>
      </c>
      <c r="P10" s="137">
        <f>'Payback Calculator'!D14</f>
        <v>672</v>
      </c>
      <c r="Q10" s="137">
        <f>'Payback Calculator'!E14</f>
        <v>740</v>
      </c>
      <c r="R10" s="137">
        <f>'Payback Calculator'!F14</f>
        <v>1412</v>
      </c>
    </row>
    <row r="11" spans="1:18">
      <c r="A11" s="131">
        <v>910</v>
      </c>
      <c r="B11" s="131" t="s">
        <v>25</v>
      </c>
      <c r="C11" s="131" t="s">
        <v>25</v>
      </c>
      <c r="D11" s="131"/>
      <c r="F11" s="132">
        <v>5.5</v>
      </c>
      <c r="G11" s="133"/>
      <c r="H11" s="133"/>
      <c r="I11" s="133">
        <v>600</v>
      </c>
      <c r="J11" s="133">
        <v>250</v>
      </c>
      <c r="L11" s="134">
        <v>826</v>
      </c>
      <c r="M11" s="135">
        <v>910</v>
      </c>
      <c r="N11" s="136">
        <f t="shared" si="0"/>
        <v>1736</v>
      </c>
      <c r="P11" s="137">
        <f>'Payback Calculator'!D15</f>
        <v>713</v>
      </c>
      <c r="Q11" s="137">
        <f>'Payback Calculator'!E15</f>
        <v>910</v>
      </c>
      <c r="R11" s="137">
        <f>'Payback Calculator'!F15</f>
        <v>1623</v>
      </c>
    </row>
    <row r="12" spans="1:18">
      <c r="A12" s="131">
        <v>1015</v>
      </c>
      <c r="B12" s="131" t="s">
        <v>26</v>
      </c>
      <c r="C12" s="131" t="s">
        <v>26</v>
      </c>
      <c r="D12" s="131"/>
      <c r="F12" s="132">
        <v>7.5</v>
      </c>
      <c r="G12" s="133"/>
      <c r="H12" s="133"/>
      <c r="I12" s="133">
        <v>791</v>
      </c>
      <c r="J12" s="133">
        <v>250</v>
      </c>
      <c r="L12" s="134">
        <v>962</v>
      </c>
      <c r="M12" s="135">
        <v>1015</v>
      </c>
      <c r="N12" s="136">
        <f t="shared" si="0"/>
        <v>1977</v>
      </c>
      <c r="P12" s="137">
        <f>'Payback Calculator'!D16</f>
        <v>876.5</v>
      </c>
      <c r="Q12" s="137">
        <f>'Payback Calculator'!E16</f>
        <v>1015</v>
      </c>
      <c r="R12" s="137">
        <f>'Payback Calculator'!F16</f>
        <v>1891.5</v>
      </c>
    </row>
    <row r="13" spans="1:18">
      <c r="A13" s="131">
        <v>1479</v>
      </c>
      <c r="B13" s="131" t="s">
        <v>27</v>
      </c>
      <c r="C13" s="131" t="s">
        <v>27</v>
      </c>
      <c r="D13" s="131"/>
      <c r="F13" s="132">
        <v>11</v>
      </c>
      <c r="G13" s="133">
        <v>810</v>
      </c>
      <c r="H13" s="133">
        <v>250</v>
      </c>
      <c r="I13" s="133">
        <v>966</v>
      </c>
      <c r="J13" s="133">
        <v>250</v>
      </c>
      <c r="L13" s="134">
        <v>1112</v>
      </c>
      <c r="M13" s="135">
        <v>1479</v>
      </c>
      <c r="N13" s="136">
        <f t="shared" si="0"/>
        <v>2591</v>
      </c>
      <c r="P13" s="137">
        <f>'Payback Calculator'!D17</f>
        <v>1039</v>
      </c>
      <c r="Q13" s="137">
        <f>'Payback Calculator'!E17</f>
        <v>1144.5</v>
      </c>
      <c r="R13" s="137">
        <f>'Payback Calculator'!F17</f>
        <v>2183.5</v>
      </c>
    </row>
    <row r="14" spans="1:18">
      <c r="A14" s="131">
        <v>1660</v>
      </c>
      <c r="B14" s="131" t="s">
        <v>28</v>
      </c>
      <c r="C14" s="131" t="s">
        <v>28</v>
      </c>
      <c r="D14" s="131"/>
      <c r="F14" s="132">
        <v>15</v>
      </c>
      <c r="G14" s="133">
        <v>1050</v>
      </c>
      <c r="H14" s="133">
        <v>250</v>
      </c>
      <c r="I14" s="133">
        <v>1241</v>
      </c>
      <c r="J14" s="133">
        <v>250</v>
      </c>
      <c r="L14" s="134">
        <v>1328</v>
      </c>
      <c r="M14" s="135">
        <v>1660</v>
      </c>
      <c r="N14" s="136">
        <f t="shared" si="0"/>
        <v>2988</v>
      </c>
      <c r="P14" s="137">
        <f>'Payback Calculator'!D18</f>
        <v>1284.5</v>
      </c>
      <c r="Q14" s="137">
        <f>'Payback Calculator'!E18</f>
        <v>1355</v>
      </c>
      <c r="R14" s="137">
        <f>'Payback Calculator'!F18</f>
        <v>2639.5</v>
      </c>
    </row>
    <row r="15" spans="1:18">
      <c r="A15" s="131">
        <v>2069</v>
      </c>
      <c r="B15" s="131" t="s">
        <v>29</v>
      </c>
      <c r="C15" s="131" t="s">
        <v>29</v>
      </c>
      <c r="D15" s="131"/>
      <c r="F15" s="132">
        <v>18.5</v>
      </c>
      <c r="G15" s="133">
        <v>1230</v>
      </c>
      <c r="H15" s="133">
        <v>250</v>
      </c>
      <c r="I15" s="133">
        <v>1447</v>
      </c>
      <c r="J15" s="133">
        <v>250</v>
      </c>
      <c r="L15" s="134">
        <v>1646</v>
      </c>
      <c r="M15" s="135">
        <v>2069</v>
      </c>
      <c r="N15" s="136">
        <f t="shared" si="0"/>
        <v>3715</v>
      </c>
      <c r="P15" s="137">
        <f>'Payback Calculator'!D19</f>
        <v>1546.5</v>
      </c>
      <c r="Q15" s="137">
        <f>'Payback Calculator'!E19</f>
        <v>1649.5</v>
      </c>
      <c r="R15" s="137">
        <f>'Payback Calculator'!F19</f>
        <v>3196</v>
      </c>
    </row>
    <row r="16" spans="1:18">
      <c r="A16" s="131">
        <v>2434</v>
      </c>
      <c r="B16" s="131" t="s">
        <v>30</v>
      </c>
      <c r="C16" s="131" t="s">
        <v>30</v>
      </c>
      <c r="D16" s="131"/>
      <c r="F16" s="132">
        <v>22</v>
      </c>
      <c r="G16" s="133">
        <v>1470</v>
      </c>
      <c r="H16" s="133">
        <v>250</v>
      </c>
      <c r="I16" s="133">
        <v>1769</v>
      </c>
      <c r="J16" s="133">
        <v>250</v>
      </c>
      <c r="L16" s="134">
        <v>2149</v>
      </c>
      <c r="M16" s="135">
        <v>2434</v>
      </c>
      <c r="N16" s="136">
        <f t="shared" si="0"/>
        <v>4583</v>
      </c>
      <c r="P16" s="137">
        <f>'Payback Calculator'!D20</f>
        <v>1959</v>
      </c>
      <c r="Q16" s="137">
        <f>'Payback Calculator'!E20</f>
        <v>1952</v>
      </c>
      <c r="R16" s="137">
        <f>'Payback Calculator'!F20</f>
        <v>3911</v>
      </c>
    </row>
    <row r="17" spans="1:18">
      <c r="A17" s="131">
        <v>3024</v>
      </c>
      <c r="B17" s="131" t="s">
        <v>31</v>
      </c>
      <c r="C17" s="131" t="s">
        <v>31</v>
      </c>
      <c r="D17" s="131"/>
      <c r="F17" s="132">
        <v>30</v>
      </c>
      <c r="G17" s="133">
        <v>1960</v>
      </c>
      <c r="H17" s="133">
        <v>250</v>
      </c>
      <c r="I17" s="133">
        <v>2227.9110000000001</v>
      </c>
      <c r="J17" s="133">
        <v>250</v>
      </c>
      <c r="L17" s="134">
        <v>2575</v>
      </c>
      <c r="M17" s="135">
        <v>3024</v>
      </c>
      <c r="N17" s="136">
        <f t="shared" si="0"/>
        <v>5599</v>
      </c>
      <c r="P17" s="137">
        <f>'Payback Calculator'!D21</f>
        <v>2401.4555</v>
      </c>
      <c r="Q17" s="137">
        <f>'Payback Calculator'!E21</f>
        <v>2492</v>
      </c>
      <c r="R17" s="137">
        <f>'Payback Calculator'!F21</f>
        <v>4893.4555</v>
      </c>
    </row>
    <row r="18" spans="1:18">
      <c r="A18" s="131">
        <v>3905</v>
      </c>
      <c r="B18" s="131" t="s">
        <v>32</v>
      </c>
      <c r="C18" s="131" t="s">
        <v>32</v>
      </c>
      <c r="D18" s="131"/>
      <c r="F18" s="132">
        <v>37</v>
      </c>
      <c r="G18" s="133">
        <v>2370</v>
      </c>
      <c r="H18" s="133">
        <v>250</v>
      </c>
      <c r="I18" s="133">
        <v>2709.06</v>
      </c>
      <c r="J18" s="133">
        <v>250</v>
      </c>
      <c r="L18" s="134">
        <v>3840</v>
      </c>
      <c r="M18" s="135">
        <v>3905</v>
      </c>
      <c r="N18" s="136">
        <f t="shared" si="0"/>
        <v>7745</v>
      </c>
      <c r="P18" s="137">
        <f>'Payback Calculator'!D22</f>
        <v>3274.5299999999997</v>
      </c>
      <c r="Q18" s="137">
        <f>'Payback Calculator'!E22</f>
        <v>3137.5</v>
      </c>
      <c r="R18" s="137">
        <f>'Payback Calculator'!F22</f>
        <v>6412.03</v>
      </c>
    </row>
    <row r="19" spans="1:18">
      <c r="A19" s="131">
        <v>4831</v>
      </c>
      <c r="B19" s="131" t="s">
        <v>33</v>
      </c>
      <c r="C19" s="131" t="s">
        <v>33</v>
      </c>
      <c r="D19" s="131"/>
      <c r="F19" s="132">
        <v>45</v>
      </c>
      <c r="G19" s="133">
        <v>2890</v>
      </c>
      <c r="H19" s="133">
        <v>250</v>
      </c>
      <c r="I19" s="133">
        <v>3191.04</v>
      </c>
      <c r="J19" s="133">
        <v>250</v>
      </c>
      <c r="L19" s="134">
        <v>4361</v>
      </c>
      <c r="M19" s="135">
        <v>4831</v>
      </c>
      <c r="N19" s="136">
        <f t="shared" si="0"/>
        <v>9192</v>
      </c>
      <c r="P19" s="137">
        <f>'Payback Calculator'!D23</f>
        <v>3776.02</v>
      </c>
      <c r="Q19" s="137">
        <f>'Payback Calculator'!E23</f>
        <v>3860.5</v>
      </c>
      <c r="R19" s="137">
        <f>'Payback Calculator'!F23</f>
        <v>7636.52</v>
      </c>
    </row>
    <row r="20" spans="1:18">
      <c r="A20" s="131">
        <v>6034</v>
      </c>
      <c r="B20" s="131" t="s">
        <v>34</v>
      </c>
      <c r="C20" s="131" t="s">
        <v>34</v>
      </c>
      <c r="D20" s="131"/>
      <c r="F20" s="132">
        <v>55</v>
      </c>
      <c r="G20" s="133">
        <v>3510</v>
      </c>
      <c r="H20" s="133">
        <v>250</v>
      </c>
      <c r="I20" s="133">
        <v>4194.0569999999998</v>
      </c>
      <c r="J20" s="133">
        <v>250</v>
      </c>
      <c r="L20" s="134">
        <v>4996</v>
      </c>
      <c r="M20" s="135">
        <v>6034</v>
      </c>
      <c r="N20" s="136">
        <f t="shared" si="0"/>
        <v>11030</v>
      </c>
      <c r="P20" s="137">
        <f>'Payback Calculator'!D24</f>
        <v>4595.0285000000003</v>
      </c>
      <c r="Q20" s="137">
        <f>'Payback Calculator'!E24</f>
        <v>4772</v>
      </c>
      <c r="R20" s="137">
        <f>'Payback Calculator'!F24</f>
        <v>9367.0285000000003</v>
      </c>
    </row>
    <row r="21" spans="1:18">
      <c r="A21" s="131">
        <v>7257</v>
      </c>
      <c r="B21" s="131" t="s">
        <v>35</v>
      </c>
      <c r="C21" s="131" t="s">
        <v>35</v>
      </c>
      <c r="D21" s="131"/>
      <c r="F21" s="132">
        <v>75</v>
      </c>
      <c r="G21" s="133">
        <v>4840</v>
      </c>
      <c r="H21" s="133">
        <v>250</v>
      </c>
      <c r="I21" s="133">
        <v>4194.0569999999998</v>
      </c>
      <c r="J21" s="133">
        <v>250</v>
      </c>
      <c r="L21" s="134">
        <v>6541</v>
      </c>
      <c r="M21" s="135">
        <v>7257</v>
      </c>
      <c r="N21" s="136">
        <f t="shared" si="0"/>
        <v>13798</v>
      </c>
      <c r="P21" s="137">
        <f>'Payback Calculator'!D25</f>
        <v>5367.5285000000003</v>
      </c>
      <c r="Q21" s="137">
        <f>'Payback Calculator'!E25</f>
        <v>6048.5</v>
      </c>
      <c r="R21" s="137">
        <f>'Payback Calculator'!F25</f>
        <v>11416.0285</v>
      </c>
    </row>
    <row r="22" spans="1:18">
      <c r="A22" s="131">
        <v>8481</v>
      </c>
      <c r="B22" s="131" t="s">
        <v>36</v>
      </c>
      <c r="C22" s="131" t="s">
        <v>36</v>
      </c>
      <c r="D22" s="131"/>
      <c r="F22" s="132">
        <v>90</v>
      </c>
      <c r="G22" s="133">
        <v>5660</v>
      </c>
      <c r="H22" s="133">
        <v>250</v>
      </c>
      <c r="I22" s="133">
        <v>4956.915</v>
      </c>
      <c r="J22" s="133">
        <v>250</v>
      </c>
      <c r="L22" s="134">
        <v>7861</v>
      </c>
      <c r="M22" s="135">
        <v>8481</v>
      </c>
      <c r="N22" s="136">
        <f t="shared" si="0"/>
        <v>16342</v>
      </c>
      <c r="P22" s="137">
        <f>'Payback Calculator'!D26</f>
        <v>6408.9575000000004</v>
      </c>
      <c r="Q22" s="137">
        <f>'Payback Calculator'!E26</f>
        <v>7070.5</v>
      </c>
      <c r="R22" s="137">
        <f>'Payback Calculator'!F26</f>
        <v>13479.4575</v>
      </c>
    </row>
    <row r="23" spans="1:18">
      <c r="A23" s="131">
        <v>11085</v>
      </c>
      <c r="B23" s="131" t="s">
        <v>37</v>
      </c>
      <c r="C23" s="131" t="s">
        <v>37</v>
      </c>
      <c r="D23" s="131"/>
      <c r="F23" s="132">
        <v>110</v>
      </c>
      <c r="G23" s="133">
        <v>7030</v>
      </c>
      <c r="H23" s="133">
        <v>250</v>
      </c>
      <c r="I23" s="133">
        <v>5489.5859999999993</v>
      </c>
      <c r="J23" s="133">
        <v>250</v>
      </c>
      <c r="L23" s="134">
        <v>11132</v>
      </c>
      <c r="M23" s="135">
        <v>11085</v>
      </c>
      <c r="N23" s="136">
        <f t="shared" si="0"/>
        <v>22217</v>
      </c>
      <c r="P23" s="137">
        <f>'Payback Calculator'!D27</f>
        <v>8310.7929999999997</v>
      </c>
      <c r="Q23" s="137">
        <f>'Payback Calculator'!E27</f>
        <v>9057.5</v>
      </c>
      <c r="R23" s="137">
        <f>'Payback Calculator'!F27</f>
        <v>17368.292999999998</v>
      </c>
    </row>
    <row r="24" spans="1:18">
      <c r="A24" s="131">
        <v>13505</v>
      </c>
      <c r="B24" s="131" t="s">
        <v>38</v>
      </c>
      <c r="C24" s="131" t="s">
        <v>38</v>
      </c>
      <c r="D24" s="131"/>
      <c r="F24" s="132">
        <v>132</v>
      </c>
      <c r="G24" s="133">
        <v>8460</v>
      </c>
      <c r="H24" s="133">
        <v>250</v>
      </c>
      <c r="I24" s="133">
        <v>6983.7239999999993</v>
      </c>
      <c r="J24" s="133">
        <v>250</v>
      </c>
      <c r="L24" s="134">
        <v>11132</v>
      </c>
      <c r="M24" s="135">
        <v>13505</v>
      </c>
      <c r="N24" s="136">
        <f t="shared" si="0"/>
        <v>24637</v>
      </c>
      <c r="P24" s="137">
        <f>'Payback Calculator'!D28</f>
        <v>9057.8619999999992</v>
      </c>
      <c r="Q24" s="137">
        <f>'Payback Calculator'!E28</f>
        <v>10982.5</v>
      </c>
      <c r="R24" s="137">
        <f>'Payback Calculator'!F28</f>
        <v>20040.362000000001</v>
      </c>
    </row>
    <row r="25" spans="1:18">
      <c r="A25" s="131">
        <v>16256</v>
      </c>
      <c r="B25" s="131" t="s">
        <v>39</v>
      </c>
      <c r="C25" s="131" t="s">
        <v>39</v>
      </c>
      <c r="D25" s="131"/>
      <c r="F25" s="132">
        <v>160</v>
      </c>
      <c r="G25" s="133">
        <v>11600</v>
      </c>
      <c r="H25" s="133">
        <v>250</v>
      </c>
      <c r="I25" s="133">
        <v>8392.2690000000002</v>
      </c>
      <c r="J25" s="133">
        <v>250</v>
      </c>
      <c r="L25" s="134">
        <v>11132</v>
      </c>
      <c r="M25" s="135">
        <v>16256</v>
      </c>
      <c r="N25" s="136">
        <f t="shared" si="0"/>
        <v>27388</v>
      </c>
      <c r="P25" s="137">
        <f>'Payback Calculator'!D29</f>
        <v>9762.1345000000001</v>
      </c>
      <c r="Q25" s="137">
        <f>'Payback Calculator'!E29</f>
        <v>13928</v>
      </c>
      <c r="R25" s="137">
        <f>'Payback Calculator'!F29</f>
        <v>23690.1345</v>
      </c>
    </row>
    <row r="26" spans="1:18">
      <c r="A26" s="138">
        <v>20902</v>
      </c>
      <c r="B26" s="138" t="s">
        <v>40</v>
      </c>
      <c r="C26" s="138" t="s">
        <v>40</v>
      </c>
      <c r="D26" s="138"/>
      <c r="F26" s="132">
        <v>200</v>
      </c>
      <c r="G26" s="133">
        <v>14800</v>
      </c>
      <c r="H26" s="133">
        <v>250</v>
      </c>
      <c r="I26" s="133">
        <v>10185.566999999999</v>
      </c>
      <c r="J26" s="133">
        <v>250</v>
      </c>
      <c r="L26" s="134">
        <v>13061</v>
      </c>
      <c r="M26" s="135">
        <v>20902</v>
      </c>
      <c r="N26" s="136">
        <f t="shared" si="0"/>
        <v>33963</v>
      </c>
      <c r="P26" s="137">
        <f>'Payback Calculator'!D30</f>
        <v>11623.2835</v>
      </c>
      <c r="Q26" s="137">
        <f>'Payback Calculator'!E30</f>
        <v>17851</v>
      </c>
      <c r="R26" s="137">
        <f>'Payback Calculator'!F30</f>
        <v>29474.283499999998</v>
      </c>
    </row>
    <row r="27" spans="1:18">
      <c r="A27" s="131">
        <v>33326</v>
      </c>
      <c r="B27" s="131" t="s">
        <v>41</v>
      </c>
      <c r="C27" s="131" t="s">
        <v>41</v>
      </c>
      <c r="D27" s="131"/>
      <c r="F27" s="132">
        <v>375</v>
      </c>
      <c r="G27" s="133"/>
      <c r="H27" s="133"/>
      <c r="I27" s="133">
        <v>17840.738999999998</v>
      </c>
      <c r="J27" s="133">
        <v>250</v>
      </c>
      <c r="L27" s="134">
        <v>13061</v>
      </c>
      <c r="M27" s="135">
        <v>33326</v>
      </c>
      <c r="N27" s="136">
        <f t="shared" si="0"/>
        <v>46387</v>
      </c>
      <c r="P27" s="137">
        <f>'Payback Calculator'!D31</f>
        <v>15450.869499999999</v>
      </c>
      <c r="Q27" s="137">
        <f>'Payback Calculator'!E31</f>
        <v>33326</v>
      </c>
      <c r="R27" s="137">
        <f>'Payback Calculator'!F31</f>
        <v>48776.869500000001</v>
      </c>
    </row>
    <row r="28" spans="1:18" ht="15.75" thickBot="1">
      <c r="A28" s="131">
        <v>35493</v>
      </c>
      <c r="B28" s="138" t="s">
        <v>42</v>
      </c>
      <c r="C28" s="138" t="s">
        <v>42</v>
      </c>
      <c r="D28" s="138"/>
      <c r="F28" s="132">
        <v>400</v>
      </c>
      <c r="G28" s="133"/>
      <c r="H28" s="133"/>
      <c r="I28" s="133">
        <v>17840.738999999998</v>
      </c>
      <c r="J28" s="133">
        <v>250</v>
      </c>
      <c r="L28" s="134">
        <v>13061</v>
      </c>
      <c r="M28" s="139">
        <v>35493</v>
      </c>
      <c r="N28" s="140">
        <f t="shared" si="0"/>
        <v>48554</v>
      </c>
      <c r="P28" s="137">
        <f>'Payback Calculator'!D32</f>
        <v>15450.869499999999</v>
      </c>
      <c r="Q28" s="137">
        <f>'Payback Calculator'!E32</f>
        <v>35493</v>
      </c>
      <c r="R28" s="137">
        <f>'Payback Calculator'!F32</f>
        <v>50943.869500000001</v>
      </c>
    </row>
    <row r="29" spans="1:18" ht="15.75" thickTop="1">
      <c r="B29" s="138" t="s">
        <v>43</v>
      </c>
      <c r="C29" s="138" t="s">
        <v>43</v>
      </c>
      <c r="D29" s="138"/>
    </row>
    <row r="30" spans="1:18">
      <c r="B30" s="138" t="s">
        <v>44</v>
      </c>
      <c r="C30" s="138" t="s">
        <v>44</v>
      </c>
      <c r="D30" s="138"/>
    </row>
    <row r="31" spans="1:18">
      <c r="B31" s="131" t="s">
        <v>45</v>
      </c>
      <c r="C31" s="131" t="s">
        <v>45</v>
      </c>
      <c r="D31" s="131"/>
    </row>
    <row r="32" spans="1:18">
      <c r="B32" s="131" t="s">
        <v>46</v>
      </c>
      <c r="C32" s="131" t="s">
        <v>46</v>
      </c>
      <c r="D32" s="131"/>
    </row>
    <row r="33" spans="2:4">
      <c r="B33" s="131" t="s">
        <v>47</v>
      </c>
      <c r="C33" s="131" t="s">
        <v>47</v>
      </c>
      <c r="D33" s="131"/>
    </row>
    <row r="34" spans="2:4" ht="15.75">
      <c r="C34" s="141"/>
    </row>
  </sheetData>
  <mergeCells count="2">
    <mergeCell ref="F3:J3"/>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Introduction</vt:lpstr>
      <vt:lpstr>Energy Savings Calculator</vt:lpstr>
      <vt:lpstr>Payback Calculator</vt:lpstr>
      <vt:lpstr>References</vt:lpstr>
      <vt:lpstr>Efficiency</vt:lpstr>
      <vt:lpstr>Introduction!Industry</vt:lpstr>
      <vt:lpstr>Ivan</vt:lpstr>
      <vt:lpstr>Sector</vt:lpstr>
      <vt:lpstr>Technologies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isproule</dc:creator>
  <cp:lastModifiedBy>isproule</cp:lastModifiedBy>
  <dcterms:created xsi:type="dcterms:W3CDTF">2011-05-10T08:45:46Z</dcterms:created>
  <dcterms:modified xsi:type="dcterms:W3CDTF">2011-07-10T19:24:45Z</dcterms:modified>
</cp:coreProperties>
</file>