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C:\Users\ocoyle\OneDrive - SEAI\NZEB Part L\Heat Pump Tool\2020 Heat Pump Methodology\"/>
    </mc:Choice>
  </mc:AlternateContent>
  <xr:revisionPtr revIDLastSave="38" documentId="8_{0B7A18DE-C7F9-49F5-A263-9C6F8511A662}" xr6:coauthVersionLast="45" xr6:coauthVersionMax="45" xr10:uidLastSave="{658E3395-C95A-4E85-B9D0-F923B72978F7}"/>
  <workbookProtection workbookAlgorithmName="SHA-512" workbookHashValue="Ji5hIU9ypV182AQIq7W6C1z/w6C3WGgcRpPMSs/7z7/oco9mrq2k9CPOxmCbBgtLynYK5TIQ3S1dwSTjvDCDnA==" workbookSaltValue="pCbWVQeriMXWLk97GAVI9Q==" workbookSpinCount="100000" lockStructure="1"/>
  <bookViews>
    <workbookView xWindow="-19320" yWindow="-120" windowWidth="19440" windowHeight="15000" tabRatio="684" xr2:uid="{73A9DC2F-A848-4F6B-8526-68D16ACB91B4}"/>
  </bookViews>
  <sheets>
    <sheet name="Cov" sheetId="40" r:id="rId1"/>
    <sheet name="Code" sheetId="56" r:id="rId2"/>
    <sheet name="Proj" sheetId="60" r:id="rId3"/>
    <sheet name="DEAPEntries" sheetId="59" r:id="rId4"/>
    <sheet name="HP_1" sheetId="52" r:id="rId5"/>
    <sheet name="HP_2" sheetId="74" r:id="rId6"/>
    <sheet name="HP_3" sheetId="75" r:id="rId7"/>
    <sheet name="HeatingCalc_1" sheetId="53" r:id="rId8"/>
    <sheet name="HeatingCalc_2" sheetId="66" r:id="rId9"/>
    <sheet name="HeatingCalc_3" sheetId="67" r:id="rId10"/>
    <sheet name="DHWCalc_1" sheetId="54" r:id="rId11"/>
    <sheet name="DHWCalc_2" sheetId="68" r:id="rId12"/>
    <sheet name="DHWCalc_3" sheetId="69" r:id="rId13"/>
    <sheet name="SpaceStandardsID_1" sheetId="63" r:id="rId14"/>
    <sheet name="SpaceStandardsID_2" sheetId="70" r:id="rId15"/>
    <sheet name="SpaceStandardsID_3" sheetId="71" r:id="rId16"/>
    <sheet name="WaterStandardsID_1" sheetId="62" r:id="rId17"/>
    <sheet name="WaterStandardsID_2" sheetId="72" r:id="rId18"/>
    <sheet name="WaterStandardsID_3" sheetId="73" r:id="rId19"/>
    <sheet name="Meteorological data" sheetId="55" r:id="rId20"/>
  </sheets>
  <externalReferences>
    <externalReference r:id="rId21"/>
    <externalReference r:id="rId22"/>
    <externalReference r:id="rId23"/>
    <externalReference r:id="rId24"/>
  </externalReferences>
  <definedNames>
    <definedName name="_40" localSheetId="2">[1]Calculation!#REF!</definedName>
    <definedName name="_40" localSheetId="13">[1]Calculation!#REF!</definedName>
    <definedName name="_40" localSheetId="14">[1]Calculation!#REF!</definedName>
    <definedName name="_40" localSheetId="15">[1]Calculation!#REF!</definedName>
    <definedName name="_40" localSheetId="16">[1]Calculation!#REF!</definedName>
    <definedName name="_40" localSheetId="17">[1]Calculation!#REF!</definedName>
    <definedName name="_40" localSheetId="18">[1]Calculation!#REF!</definedName>
    <definedName name="_40">[1]Calculation!#REF!</definedName>
    <definedName name="_41" localSheetId="2">#REF!</definedName>
    <definedName name="_41" localSheetId="13">#REF!</definedName>
    <definedName name="_41" localSheetId="14">#REF!</definedName>
    <definedName name="_41" localSheetId="15">#REF!</definedName>
    <definedName name="_41" localSheetId="16">#REF!</definedName>
    <definedName name="_41" localSheetId="17">#REF!</definedName>
    <definedName name="_41" localSheetId="18">#REF!</definedName>
    <definedName name="_41">#REF!</definedName>
    <definedName name="_41a" localSheetId="2">#REF!</definedName>
    <definedName name="_41a" localSheetId="13">#REF!</definedName>
    <definedName name="_41a" localSheetId="14">#REF!</definedName>
    <definedName name="_41a" localSheetId="15">#REF!</definedName>
    <definedName name="_41a" localSheetId="16">#REF!</definedName>
    <definedName name="_41a" localSheetId="17">#REF!</definedName>
    <definedName name="_41a" localSheetId="18">#REF!</definedName>
    <definedName name="_41a">#REF!</definedName>
    <definedName name="_42" localSheetId="13">#REF!</definedName>
    <definedName name="_42" localSheetId="14">#REF!</definedName>
    <definedName name="_42" localSheetId="15">#REF!</definedName>
    <definedName name="_42" localSheetId="16">#REF!</definedName>
    <definedName name="_42" localSheetId="17">#REF!</definedName>
    <definedName name="_42" localSheetId="18">#REF!</definedName>
    <definedName name="_42">#REF!</definedName>
    <definedName name="_43">#REF!</definedName>
    <definedName name="_44">#REF!</definedName>
    <definedName name="_44a">#REF!</definedName>
    <definedName name="_44b">#REF!</definedName>
    <definedName name="_45">[1]Calculation!$AE$28</definedName>
    <definedName name="_49">[1]Calculation!#REF!</definedName>
    <definedName name="_55">[1]Calculation!#REF!</definedName>
    <definedName name="_56">#REF!</definedName>
    <definedName name="_58" localSheetId="13">[1]Calculation!#REF!</definedName>
    <definedName name="_58" localSheetId="14">[1]Calculation!#REF!</definedName>
    <definedName name="_58" localSheetId="15">[1]Calculation!#REF!</definedName>
    <definedName name="_58" localSheetId="16">[1]Calculation!#REF!</definedName>
    <definedName name="_58" localSheetId="17">[1]Calculation!#REF!</definedName>
    <definedName name="_58" localSheetId="18">[1]Calculation!#REF!</definedName>
    <definedName name="_58">[1]Calculation!#REF!</definedName>
    <definedName name="_A">[1]Calculation!$Z$1:$Z$65536</definedName>
    <definedName name="_Act_occ">[1]Calculator!$L$37</definedName>
    <definedName name="_B">[1]Calculation!$AA$1:$AA$65536</definedName>
    <definedName name="_Backup_eff">[1]Calculator!$L$92</definedName>
    <definedName name="_C">[1]Calculation!$AB$1:$AB$65536</definedName>
    <definedName name="_cyl_loss">[1]Calculator!$L$34</definedName>
    <definedName name="_eshower">[1]Calculation!#REF!</definedName>
    <definedName name="_xlnm._FilterDatabase" localSheetId="10" hidden="1">DHWCalc_1!$L$1:$N$4</definedName>
    <definedName name="_xlnm._FilterDatabase" localSheetId="11" hidden="1">DHWCalc_2!$L$1:$N$4</definedName>
    <definedName name="_xlnm._FilterDatabase" localSheetId="12" hidden="1">DHWCalc_3!$L$1:$N$4</definedName>
    <definedName name="_xlnm._FilterDatabase" localSheetId="7" hidden="1">HeatingCalc_1!$A$1:$AD$56</definedName>
    <definedName name="_xlnm._FilterDatabase" localSheetId="8" hidden="1">HeatingCalc_2!$A$1:$AD$56</definedName>
    <definedName name="_xlnm._FilterDatabase" localSheetId="9" hidden="1">HeatingCalc_3!$A$1:$AD$56</definedName>
    <definedName name="_xlnm._FilterDatabase" localSheetId="19" hidden="1">'Meteorological data'!$J$1:$L$1</definedName>
    <definedName name="_xlnm._FilterDatabase" localSheetId="13" hidden="1">SpaceStandardsID_1!$A$2:$K$34</definedName>
    <definedName name="_xlnm._FilterDatabase" localSheetId="14" hidden="1">SpaceStandardsID_2!$A$2:$K$34</definedName>
    <definedName name="_xlnm._FilterDatabase" localSheetId="15" hidden="1">SpaceStandardsID_3!$A$2:$K$34</definedName>
    <definedName name="_xlnm._FilterDatabase" localSheetId="16" hidden="1">WaterStandardsID_1!$A$2:$J$20</definedName>
    <definedName name="_xlnm._FilterDatabase" localSheetId="17" hidden="1">WaterStandardsID_2!$A$2:$J$20</definedName>
    <definedName name="_xlnm._FilterDatabase" localSheetId="18" hidden="1">WaterStandardsID_3!$A$2:$J$20</definedName>
    <definedName name="_H1">[1]Calculator!$F$15</definedName>
    <definedName name="_H10">[1]Calculation!$AI$1:$AI$65536</definedName>
    <definedName name="_H11">[1]Calculator!$F$27</definedName>
    <definedName name="_H12">[1]Calculator!$F$26</definedName>
    <definedName name="_H13">[1]Calculation!$AJ$1:$AJ$65536</definedName>
    <definedName name="_H14">[1]Calculation!$AD$28</definedName>
    <definedName name="_H15">[1]Calculation!$AK$1:$AK$65536</definedName>
    <definedName name="_H16">[1]Calculation!$AL$1:$AL$65536</definedName>
    <definedName name="_H2">[1]Calculator!$F$16</definedName>
    <definedName name="_H3">[1]Calculator!$F$17</definedName>
    <definedName name="_H3a">[1]Calculator!$F$18</definedName>
    <definedName name="_H3b">[1]Calculation!$AI$14</definedName>
    <definedName name="_H4">[1]Calculation!$AI$15</definedName>
    <definedName name="_H5">[1]Calculation!$N$1:$N$65536</definedName>
    <definedName name="_H6">[1]Calculator!$J$58</definedName>
    <definedName name="_H7">[1]Calculation!$AF$1:$AF$65536</definedName>
    <definedName name="_H8">[1]Calculation!$AG$28</definedName>
    <definedName name="_H9">[1]Calculation!$AH$1:$AH$65536</definedName>
    <definedName name="_HOT">[1]Calculator!$F$54</definedName>
    <definedName name="_IAM">[1]Calculator!$K$14</definedName>
    <definedName name="_IAM_L">[1]Calculator!$F$21</definedName>
    <definedName name="_IAM_T">[1]Calculator!$F$20</definedName>
    <definedName name="_K_Table">[1]Calculation!$B$86:$GA$96</definedName>
    <definedName name="_k1">[1]Calculation!$P$1:$P$65536</definedName>
    <definedName name="_k2">[1]Calculation!$Q$1:$Q$65536</definedName>
    <definedName name="_k3">[1]Calculation!$R$1:$R$65536</definedName>
    <definedName name="_k4">[1]Calculation!$S$1:$S$65536</definedName>
    <definedName name="_k5">[1]Calculation!$T$1:$T$65536</definedName>
    <definedName name="_k6">[1]Calculation!$U$1:$U$65536</definedName>
    <definedName name="_k7">[1]Calculation!$V$1:$V$65536</definedName>
    <definedName name="_k8">[1]Calculation!$W$1:$W$65536</definedName>
    <definedName name="_k9">[1]Calculation!$X$1:$X$65536</definedName>
    <definedName name="_LAT">[1]Calculation!$F$12</definedName>
    <definedName name="_LAT_rad">[1]Calculation!$F$13</definedName>
    <definedName name="_Low">[1]Calculation!#REF!</definedName>
    <definedName name="_MCS">[1]Calculation!#REF!</definedName>
    <definedName name="_N">[1]Calculator!$F$37</definedName>
    <definedName name="_Orient">[1]Calculator!$F$49</definedName>
    <definedName name="_Overshade">[1]Calculator!$E$53</definedName>
    <definedName name="_p">[1]Calculation!#REF!</definedName>
    <definedName name="_Pitch">[1]Calculator!$F$50</definedName>
    <definedName name="_primary">[1]Calculation!#REF!</definedName>
    <definedName name="_Pump">[1]Calculation!#REF!</definedName>
    <definedName name="_Qs">[1]Calculation!$AM$28</definedName>
    <definedName name="_radians">[1]Calculation!$Y$1:$Y$65536</definedName>
    <definedName name="_REGION">[1]Calculator!$F$51</definedName>
    <definedName name="_solar_saving">[1]Calculation!#REF!</definedName>
    <definedName name="_Standard_occ">[1]Calculator!$L$38</definedName>
    <definedName name="_TFA">[1]Calculator!$F$48</definedName>
    <definedName name="AUX">[1]Calculation!#REF!</definedName>
    <definedName name="ctrlCat" localSheetId="2">[2]SH!$H$6</definedName>
    <definedName name="ctrlCat">#REF!</definedName>
    <definedName name="cylVol" localSheetId="2">[2]WH!$G$58</definedName>
    <definedName name="cylVol">#REF!</definedName>
    <definedName name="emissions" localSheetId="13">[1]Calculation!#REF!</definedName>
    <definedName name="emissions" localSheetId="14">[1]Calculation!#REF!</definedName>
    <definedName name="emissions" localSheetId="15">[1]Calculation!#REF!</definedName>
    <definedName name="emissions" localSheetId="16">[1]Calculation!#REF!</definedName>
    <definedName name="emissions" localSheetId="17">[1]Calculation!#REF!</definedName>
    <definedName name="emissions" localSheetId="18">[1]Calculation!#REF!</definedName>
    <definedName name="emissions">[1]Calculation!#REF!</definedName>
    <definedName name="fueldata" localSheetId="2">[2]Fuel!$C$4:$H$25</definedName>
    <definedName name="fueldata">#REF!</definedName>
    <definedName name="HeatUse" localSheetId="2">[2]HtUse!$F$57</definedName>
    <definedName name="HeatUse">#REF!</definedName>
    <definedName name="hlc" localSheetId="2">[2]Fab!$F$27</definedName>
    <definedName name="hlc">#REF!</definedName>
    <definedName name="hlcRef" localSheetId="2">[2]Fab!$P$27</definedName>
    <definedName name="hlcRef">#REF!</definedName>
    <definedName name="hlp" localSheetId="2">[2]Fab!$F$28</definedName>
    <definedName name="hlp">#REF!</definedName>
    <definedName name="HsLength" localSheetId="2">[2]HtUse!$E$89</definedName>
    <definedName name="HsLength">#REF!</definedName>
    <definedName name="INS" localSheetId="13">#REF!</definedName>
    <definedName name="INS" localSheetId="14">#REF!</definedName>
    <definedName name="INS" localSheetId="15">#REF!</definedName>
    <definedName name="INS" localSheetId="16">#REF!</definedName>
    <definedName name="INS" localSheetId="17">#REF!</definedName>
    <definedName name="INS" localSheetId="18">#REF!</definedName>
    <definedName name="INS">#REF!</definedName>
    <definedName name="Mains_Gas" localSheetId="13">#REF!</definedName>
    <definedName name="Mains_Gas" localSheetId="14">#REF!</definedName>
    <definedName name="Mains_Gas" localSheetId="15">#REF!</definedName>
    <definedName name="Mains_Gas" localSheetId="16">#REF!</definedName>
    <definedName name="Mains_Gas" localSheetId="17">#REF!</definedName>
    <definedName name="Mains_Gas" localSheetId="18">#REF!</definedName>
    <definedName name="Mains_Gas">#REF!</definedName>
    <definedName name="N" localSheetId="2">[2]WH!$F$2</definedName>
    <definedName name="N">#REF!</definedName>
    <definedName name="_xlnm.Print_Area" localSheetId="2">Proj!$A$1:$C$29</definedName>
    <definedName name="Project" localSheetId="13">[1]Calculation!#REF!</definedName>
    <definedName name="Project" localSheetId="14">[1]Calculation!#REF!</definedName>
    <definedName name="Project" localSheetId="15">[1]Calculation!#REF!</definedName>
    <definedName name="Project" localSheetId="16">[1]Calculation!#REF!</definedName>
    <definedName name="Project" localSheetId="17">[1]Calculation!#REF!</definedName>
    <definedName name="Project" localSheetId="18">[1]Calculation!#REF!</definedName>
    <definedName name="Project">[1]Calculation!#REF!</definedName>
    <definedName name="PUMP" localSheetId="13">#REF!</definedName>
    <definedName name="PUMP" localSheetId="14">#REF!</definedName>
    <definedName name="PUMP" localSheetId="15">#REF!</definedName>
    <definedName name="PUMP" localSheetId="16">#REF!</definedName>
    <definedName name="PUMP" localSheetId="17">#REF!</definedName>
    <definedName name="PUMP" localSheetId="18">#REF!</definedName>
    <definedName name="PUMP">#REF!</definedName>
    <definedName name="QH_gen_out">'[3]Climate Data'!$D$14</definedName>
    <definedName name="QW_gen_out">'[3]Climate Data'!$D$15</definedName>
    <definedName name="respons" localSheetId="2">[2]SH!$H$9</definedName>
    <definedName name="respons">#REF!</definedName>
    <definedName name="sd" localSheetId="13">#REF!</definedName>
    <definedName name="sd" localSheetId="14">#REF!</definedName>
    <definedName name="sd" localSheetId="15">#REF!</definedName>
    <definedName name="sd" localSheetId="16">#REF!</definedName>
    <definedName name="sd" localSheetId="17">#REF!</definedName>
    <definedName name="sd" localSheetId="18">#REF!</definedName>
    <definedName name="sd">#REF!</definedName>
    <definedName name="SEDBUK" localSheetId="13">[1]Calculation!#REF!</definedName>
    <definedName name="SEDBUK" localSheetId="14">[1]Calculation!#REF!</definedName>
    <definedName name="SEDBUK" localSheetId="15">[1]Calculation!#REF!</definedName>
    <definedName name="SEDBUK" localSheetId="16">[1]Calculation!#REF!</definedName>
    <definedName name="SEDBUK" localSheetId="17">[1]Calculation!#REF!</definedName>
    <definedName name="SEDBUK" localSheetId="18">[1]Calculation!#REF!</definedName>
    <definedName name="SEDBUK">[1]Calculation!#REF!</definedName>
    <definedName name="ShReqt" localSheetId="2">[2]SH!$K$37</definedName>
    <definedName name="ShReqt">#REF!</definedName>
    <definedName name="Tem" localSheetId="2">[2]HtUse!$H$21</definedName>
    <definedName name="Tem">#REF!</definedName>
    <definedName name="tfa" localSheetId="2">[2]Dim!$D$9</definedName>
    <definedName name="tfa">#REF!</definedName>
    <definedName name="TGDL" localSheetId="2">Proj!#REF!</definedName>
    <definedName name="TGDL">#REF!</definedName>
    <definedName name="Ti_seas">#REF!</definedName>
    <definedName name="Uf_seas">#REF!</definedName>
    <definedName name="ValidDelete">[4]Zone1!$L$1:$L$2</definedName>
    <definedName name="ValidOptions">[4]Zone1!#REF!</definedName>
    <definedName name="volume" localSheetId="2">[2]Dim!$F$10</definedName>
    <definedName name="volume">#REF!</definedName>
    <definedName name="WhGains" localSheetId="2">[2]WH!$F$103</definedName>
    <definedName name="WhGains">#REF!</definedName>
    <definedName name="WhReqt" localSheetId="2">[2]WH!$F$100</definedName>
    <definedName name="WhReqt">#REF!</definedName>
    <definedName name="WhReqtSup" localSheetId="2">[2]WH!$F$101</definedName>
    <definedName name="WhReqtSup">#REF!</definedName>
    <definedName name="θe_design">'[3]Climate Data'!$E$19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1" i="59" l="1"/>
  <c r="C61" i="59"/>
  <c r="B222" i="75" l="1"/>
  <c r="B221" i="75"/>
  <c r="A220" i="75"/>
  <c r="A219" i="75"/>
  <c r="A218" i="75"/>
  <c r="A217" i="75"/>
  <c r="A216" i="75"/>
  <c r="A215" i="75"/>
  <c r="A214" i="75"/>
  <c r="A213" i="75"/>
  <c r="A212" i="75"/>
  <c r="A211" i="75"/>
  <c r="A210" i="75"/>
  <c r="A209" i="75"/>
  <c r="A207" i="75"/>
  <c r="A206" i="75"/>
  <c r="A205" i="75"/>
  <c r="A204" i="75"/>
  <c r="A203" i="75"/>
  <c r="A202" i="75"/>
  <c r="A201" i="75"/>
  <c r="A200" i="75"/>
  <c r="A199" i="75"/>
  <c r="D198" i="75"/>
  <c r="C198" i="75"/>
  <c r="B198" i="75"/>
  <c r="D195" i="75"/>
  <c r="C195" i="75"/>
  <c r="B195" i="75"/>
  <c r="D194" i="75"/>
  <c r="E194" i="75" s="1"/>
  <c r="B5" i="75" s="1"/>
  <c r="C194" i="75"/>
  <c r="B194" i="75"/>
  <c r="D193" i="75"/>
  <c r="E193" i="75" s="1"/>
  <c r="G114" i="75" s="1"/>
  <c r="C193" i="75"/>
  <c r="B193" i="75"/>
  <c r="D192" i="75"/>
  <c r="E192" i="75" s="1"/>
  <c r="C192" i="75"/>
  <c r="B192" i="75"/>
  <c r="D191" i="75"/>
  <c r="E191" i="75" s="1"/>
  <c r="B6" i="75" s="1"/>
  <c r="C191" i="75"/>
  <c r="B191" i="75"/>
  <c r="D190" i="75"/>
  <c r="K190" i="75" s="1"/>
  <c r="C190" i="75"/>
  <c r="J190" i="75" s="1"/>
  <c r="B190" i="75"/>
  <c r="I190" i="75" s="1"/>
  <c r="D189" i="75"/>
  <c r="K189" i="75" s="1"/>
  <c r="M189" i="75" s="1"/>
  <c r="N10" i="75" s="1"/>
  <c r="C189" i="75"/>
  <c r="J189" i="75" s="1"/>
  <c r="B189" i="75"/>
  <c r="I189" i="75" s="1"/>
  <c r="G112" i="75"/>
  <c r="B109" i="75"/>
  <c r="B107" i="75"/>
  <c r="G89" i="75"/>
  <c r="G88" i="75"/>
  <c r="G87" i="75"/>
  <c r="B85" i="75"/>
  <c r="G84" i="75"/>
  <c r="B83" i="75"/>
  <c r="C82" i="75"/>
  <c r="A82" i="75"/>
  <c r="B76" i="75"/>
  <c r="F73" i="75"/>
  <c r="E73" i="75"/>
  <c r="D73" i="75"/>
  <c r="C73" i="75"/>
  <c r="B73" i="75"/>
  <c r="B72" i="75"/>
  <c r="A96" i="75" s="1"/>
  <c r="J68" i="75"/>
  <c r="I68" i="75"/>
  <c r="G65" i="75"/>
  <c r="G57" i="75"/>
  <c r="F57" i="75"/>
  <c r="E57" i="75"/>
  <c r="D57" i="75"/>
  <c r="C57" i="75"/>
  <c r="A57" i="75"/>
  <c r="G56" i="75"/>
  <c r="F56" i="75"/>
  <c r="E56" i="75"/>
  <c r="D56" i="75"/>
  <c r="C56" i="75"/>
  <c r="A56" i="75"/>
  <c r="A53" i="75"/>
  <c r="G52" i="75"/>
  <c r="F52" i="75"/>
  <c r="E52" i="75"/>
  <c r="D52" i="75"/>
  <c r="C52" i="75"/>
  <c r="G49" i="75"/>
  <c r="F49" i="75"/>
  <c r="E49" i="75"/>
  <c r="D49" i="75"/>
  <c r="C49" i="75"/>
  <c r="A49" i="75"/>
  <c r="G48" i="75"/>
  <c r="F48" i="75"/>
  <c r="E48" i="75"/>
  <c r="D48" i="75"/>
  <c r="C48" i="75"/>
  <c r="G45" i="75"/>
  <c r="F45" i="75"/>
  <c r="E45" i="75"/>
  <c r="D45" i="75"/>
  <c r="C45" i="75"/>
  <c r="A45" i="75"/>
  <c r="G44" i="75"/>
  <c r="F44" i="75"/>
  <c r="E44" i="75"/>
  <c r="D44" i="75"/>
  <c r="C44" i="75"/>
  <c r="A44" i="75"/>
  <c r="B43" i="75"/>
  <c r="B42" i="75"/>
  <c r="B41" i="75"/>
  <c r="B40" i="75"/>
  <c r="A48" i="75" s="1"/>
  <c r="B39" i="75"/>
  <c r="I38" i="75"/>
  <c r="D38" i="75"/>
  <c r="B38" i="75"/>
  <c r="A38" i="75"/>
  <c r="B34" i="75"/>
  <c r="B31" i="75"/>
  <c r="B30" i="75"/>
  <c r="B24" i="75"/>
  <c r="E53" i="75" s="1"/>
  <c r="B19" i="75"/>
  <c r="G18" i="75"/>
  <c r="G8" i="75"/>
  <c r="F8" i="75"/>
  <c r="E8" i="75"/>
  <c r="G7" i="75"/>
  <c r="F7" i="75"/>
  <c r="E7" i="75"/>
  <c r="D7" i="75"/>
  <c r="B7" i="75"/>
  <c r="AE5" i="75"/>
  <c r="AE4" i="75"/>
  <c r="AE3" i="75"/>
  <c r="D3" i="75"/>
  <c r="B3" i="75"/>
  <c r="AE2" i="75"/>
  <c r="X2" i="75"/>
  <c r="B222" i="74"/>
  <c r="B221" i="74"/>
  <c r="A220" i="74"/>
  <c r="A219" i="74"/>
  <c r="A218" i="74"/>
  <c r="A217" i="74"/>
  <c r="A216" i="74"/>
  <c r="A215" i="74"/>
  <c r="A214" i="74"/>
  <c r="A213" i="74"/>
  <c r="A212" i="74"/>
  <c r="A211" i="74"/>
  <c r="A210" i="74"/>
  <c r="A209" i="74"/>
  <c r="A207" i="74"/>
  <c r="A206" i="74"/>
  <c r="A205" i="74"/>
  <c r="A204" i="74"/>
  <c r="A203" i="74"/>
  <c r="A202" i="74"/>
  <c r="A201" i="74"/>
  <c r="A200" i="74"/>
  <c r="A199" i="74"/>
  <c r="D198" i="74"/>
  <c r="C198" i="74"/>
  <c r="B198" i="74"/>
  <c r="D195" i="74"/>
  <c r="C195" i="74"/>
  <c r="B195" i="74"/>
  <c r="D194" i="74"/>
  <c r="C194" i="74"/>
  <c r="E194" i="74" s="1"/>
  <c r="B5" i="74" s="1"/>
  <c r="B194" i="74"/>
  <c r="D193" i="74"/>
  <c r="C193" i="74"/>
  <c r="E193" i="74" s="1"/>
  <c r="G114" i="74" s="1"/>
  <c r="B193" i="74"/>
  <c r="D192" i="74"/>
  <c r="C192" i="74"/>
  <c r="E192" i="74" s="1"/>
  <c r="B192" i="74"/>
  <c r="D191" i="74"/>
  <c r="C191" i="74"/>
  <c r="E191" i="74" s="1"/>
  <c r="B6" i="74" s="1"/>
  <c r="B191" i="74"/>
  <c r="D190" i="74"/>
  <c r="K190" i="74" s="1"/>
  <c r="C190" i="74"/>
  <c r="J190" i="74" s="1"/>
  <c r="B190" i="74"/>
  <c r="D189" i="74"/>
  <c r="K189" i="74" s="1"/>
  <c r="C189" i="74"/>
  <c r="J189" i="74" s="1"/>
  <c r="B189" i="74"/>
  <c r="I189" i="74" s="1"/>
  <c r="G112" i="74"/>
  <c r="B109" i="74"/>
  <c r="B107" i="74"/>
  <c r="G89" i="74"/>
  <c r="G88" i="74"/>
  <c r="G87" i="74"/>
  <c r="B85" i="74"/>
  <c r="G84" i="74"/>
  <c r="B83" i="74"/>
  <c r="C82" i="74"/>
  <c r="A82" i="74"/>
  <c r="B76" i="74"/>
  <c r="F73" i="74"/>
  <c r="E73" i="74"/>
  <c r="D73" i="74"/>
  <c r="C73" i="74"/>
  <c r="B73" i="74"/>
  <c r="B72" i="74"/>
  <c r="A96" i="74" s="1"/>
  <c r="J68" i="74"/>
  <c r="I68" i="74"/>
  <c r="G65" i="74"/>
  <c r="G57" i="74"/>
  <c r="F57" i="74"/>
  <c r="E57" i="74"/>
  <c r="D57" i="74"/>
  <c r="C57" i="74"/>
  <c r="A57" i="74"/>
  <c r="G56" i="74"/>
  <c r="F56" i="74"/>
  <c r="E56" i="74"/>
  <c r="D56" i="74"/>
  <c r="C56" i="74"/>
  <c r="A53" i="74"/>
  <c r="G52" i="74"/>
  <c r="F52" i="74"/>
  <c r="E52" i="74"/>
  <c r="D52" i="74"/>
  <c r="C52" i="74"/>
  <c r="G49" i="74"/>
  <c r="F49" i="74"/>
  <c r="E49" i="74"/>
  <c r="D49" i="74"/>
  <c r="C49" i="74"/>
  <c r="A49" i="74"/>
  <c r="G48" i="74"/>
  <c r="F48" i="74"/>
  <c r="E48" i="74"/>
  <c r="D48" i="74"/>
  <c r="C48" i="74"/>
  <c r="A48" i="74"/>
  <c r="G45" i="74"/>
  <c r="F45" i="74"/>
  <c r="E45" i="74"/>
  <c r="D45" i="74"/>
  <c r="C45" i="74"/>
  <c r="A45" i="74"/>
  <c r="G44" i="74"/>
  <c r="F44" i="74"/>
  <c r="E44" i="74"/>
  <c r="D44" i="74"/>
  <c r="C44" i="74"/>
  <c r="B43" i="74"/>
  <c r="B42" i="74"/>
  <c r="B41" i="74"/>
  <c r="A56" i="74" s="1"/>
  <c r="B40" i="74"/>
  <c r="B39" i="74"/>
  <c r="A44" i="74" s="1"/>
  <c r="I38" i="74"/>
  <c r="D38" i="74"/>
  <c r="B38" i="74"/>
  <c r="A38" i="74"/>
  <c r="B34" i="74"/>
  <c r="B31" i="74"/>
  <c r="B30" i="74"/>
  <c r="B24" i="74"/>
  <c r="F53" i="74" s="1"/>
  <c r="B19" i="74"/>
  <c r="G18" i="74"/>
  <c r="G8" i="74"/>
  <c r="F8" i="74"/>
  <c r="E8" i="74"/>
  <c r="G7" i="74"/>
  <c r="F7" i="74"/>
  <c r="E7" i="74"/>
  <c r="D7" i="74"/>
  <c r="B7" i="74"/>
  <c r="AE5" i="74"/>
  <c r="AE4" i="74"/>
  <c r="AE3" i="74"/>
  <c r="D3" i="74"/>
  <c r="B3" i="74"/>
  <c r="AE2" i="74"/>
  <c r="X2" i="74"/>
  <c r="H213" i="75"/>
  <c r="H218" i="74"/>
  <c r="H226" i="74"/>
  <c r="H204" i="74"/>
  <c r="H215" i="74"/>
  <c r="H215" i="75"/>
  <c r="H235" i="74"/>
  <c r="H211" i="75"/>
  <c r="H209" i="74"/>
  <c r="H229" i="74"/>
  <c r="H219" i="74"/>
  <c r="H217" i="74"/>
  <c r="H210" i="75"/>
  <c r="H201" i="74"/>
  <c r="H207" i="74"/>
  <c r="H205" i="75"/>
  <c r="H203" i="75"/>
  <c r="H232" i="75"/>
  <c r="H200" i="74"/>
  <c r="H231" i="75"/>
  <c r="H222" i="74"/>
  <c r="H201" i="75"/>
  <c r="H210" i="74"/>
  <c r="H199" i="75"/>
  <c r="H225" i="74"/>
  <c r="H234" i="75"/>
  <c r="H228" i="75"/>
  <c r="H206" i="75"/>
  <c r="H205" i="74"/>
  <c r="H212" i="74"/>
  <c r="H233" i="75"/>
  <c r="H209" i="75"/>
  <c r="H227" i="75"/>
  <c r="H235" i="75"/>
  <c r="H232" i="74"/>
  <c r="H221" i="75"/>
  <c r="H225" i="75"/>
  <c r="H204" i="75"/>
  <c r="H227" i="74"/>
  <c r="H224" i="74"/>
  <c r="H211" i="74"/>
  <c r="H224" i="75"/>
  <c r="H213" i="74"/>
  <c r="H220" i="74"/>
  <c r="H214" i="75"/>
  <c r="H206" i="74"/>
  <c r="H214" i="74"/>
  <c r="H229" i="75"/>
  <c r="H221" i="74"/>
  <c r="H216" i="74"/>
  <c r="H226" i="75"/>
  <c r="H216" i="75"/>
  <c r="H207" i="75"/>
  <c r="H222" i="75"/>
  <c r="H199" i="74"/>
  <c r="H203" i="74"/>
  <c r="H234" i="74"/>
  <c r="H233" i="74"/>
  <c r="H212" i="75"/>
  <c r="H200" i="75"/>
  <c r="H220" i="75"/>
  <c r="H217" i="75"/>
  <c r="H219" i="75"/>
  <c r="H231" i="74"/>
  <c r="H202" i="75"/>
  <c r="H202" i="74"/>
  <c r="H228" i="74"/>
  <c r="H218" i="75"/>
  <c r="D24" i="74" l="1"/>
  <c r="AN1" i="74" s="1"/>
  <c r="G38" i="74"/>
  <c r="B36" i="74"/>
  <c r="B78" i="74"/>
  <c r="J41" i="75"/>
  <c r="B36" i="75"/>
  <c r="B78" i="75"/>
  <c r="J38" i="75"/>
  <c r="B26" i="74"/>
  <c r="D53" i="74"/>
  <c r="A58" i="74"/>
  <c r="D23" i="74"/>
  <c r="D25" i="74" s="1"/>
  <c r="A50" i="74"/>
  <c r="E195" i="75"/>
  <c r="E195" i="74"/>
  <c r="I194" i="75"/>
  <c r="E189" i="74"/>
  <c r="C12" i="74" s="1"/>
  <c r="E190" i="74"/>
  <c r="C65" i="74" s="1"/>
  <c r="I194" i="74"/>
  <c r="E189" i="75"/>
  <c r="C12" i="75" s="1"/>
  <c r="E190" i="75"/>
  <c r="C65" i="75" s="1"/>
  <c r="B4" i="75"/>
  <c r="G232" i="75"/>
  <c r="F232" i="75"/>
  <c r="G222" i="75"/>
  <c r="F222" i="75"/>
  <c r="G200" i="75"/>
  <c r="F200" i="75"/>
  <c r="G227" i="75"/>
  <c r="F227" i="75"/>
  <c r="G202" i="75"/>
  <c r="F202" i="75"/>
  <c r="G204" i="75"/>
  <c r="F204" i="75"/>
  <c r="G206" i="75"/>
  <c r="F206" i="75"/>
  <c r="G209" i="75"/>
  <c r="F209" i="75"/>
  <c r="G211" i="75"/>
  <c r="F211" i="75"/>
  <c r="G213" i="75"/>
  <c r="F213" i="75"/>
  <c r="G215" i="75"/>
  <c r="F215" i="75"/>
  <c r="G217" i="75"/>
  <c r="F217" i="75"/>
  <c r="G219" i="75"/>
  <c r="F219" i="75"/>
  <c r="F224" i="75"/>
  <c r="G224" i="75"/>
  <c r="F228" i="75"/>
  <c r="G228" i="75"/>
  <c r="F233" i="75"/>
  <c r="G233" i="75"/>
  <c r="G199" i="75"/>
  <c r="F199" i="75"/>
  <c r="G201" i="75"/>
  <c r="F201" i="75"/>
  <c r="G203" i="75"/>
  <c r="F203" i="75"/>
  <c r="G205" i="75"/>
  <c r="F205" i="75"/>
  <c r="G207" i="75"/>
  <c r="F207" i="75"/>
  <c r="G210" i="75"/>
  <c r="F210" i="75"/>
  <c r="G212" i="75"/>
  <c r="F212" i="75"/>
  <c r="G214" i="75"/>
  <c r="F214" i="75"/>
  <c r="G216" i="75"/>
  <c r="F216" i="75"/>
  <c r="G218" i="75"/>
  <c r="F218" i="75"/>
  <c r="G220" i="75"/>
  <c r="F220" i="75"/>
  <c r="G225" i="75"/>
  <c r="F225" i="75"/>
  <c r="G229" i="75"/>
  <c r="F229" i="75"/>
  <c r="G234" i="75"/>
  <c r="F234" i="75"/>
  <c r="G221" i="75"/>
  <c r="F221" i="75"/>
  <c r="G226" i="75"/>
  <c r="F226" i="75"/>
  <c r="G231" i="75"/>
  <c r="F231" i="75"/>
  <c r="G235" i="75"/>
  <c r="F235" i="75"/>
  <c r="M190" i="75"/>
  <c r="N11" i="75" s="1"/>
  <c r="N12" i="75" s="1"/>
  <c r="C66" i="75" s="1"/>
  <c r="L190" i="75"/>
  <c r="A9" i="75"/>
  <c r="D24" i="75"/>
  <c r="AN1" i="75" s="1"/>
  <c r="G38" i="75"/>
  <c r="A50" i="75"/>
  <c r="A54" i="75"/>
  <c r="D53" i="75"/>
  <c r="G53" i="75"/>
  <c r="C53" i="75"/>
  <c r="B27" i="75"/>
  <c r="B28" i="75" s="1"/>
  <c r="H38" i="75"/>
  <c r="J40" i="75" s="1"/>
  <c r="J39" i="75"/>
  <c r="A52" i="75"/>
  <c r="F53" i="75"/>
  <c r="L189" i="75"/>
  <c r="C42" i="75"/>
  <c r="D42" i="75" s="1"/>
  <c r="AN2" i="75" s="1"/>
  <c r="A46" i="75"/>
  <c r="D23" i="75"/>
  <c r="D25" i="75" s="1"/>
  <c r="B26" i="75"/>
  <c r="A58" i="75"/>
  <c r="G232" i="74"/>
  <c r="F232" i="74"/>
  <c r="G204" i="74"/>
  <c r="F204" i="74"/>
  <c r="G213" i="74"/>
  <c r="F213" i="74"/>
  <c r="G222" i="74"/>
  <c r="F222" i="74"/>
  <c r="G202" i="74"/>
  <c r="F202" i="74"/>
  <c r="G211" i="74"/>
  <c r="F211" i="74"/>
  <c r="G206" i="74"/>
  <c r="F206" i="74"/>
  <c r="G215" i="74"/>
  <c r="F215" i="74"/>
  <c r="G227" i="74"/>
  <c r="F227" i="74"/>
  <c r="G200" i="74"/>
  <c r="F200" i="74"/>
  <c r="G209" i="74"/>
  <c r="F209" i="74"/>
  <c r="G217" i="74"/>
  <c r="F217" i="74"/>
  <c r="G219" i="74"/>
  <c r="F219" i="74"/>
  <c r="F224" i="74"/>
  <c r="G224" i="74"/>
  <c r="F228" i="74"/>
  <c r="G228" i="74"/>
  <c r="F233" i="74"/>
  <c r="G233" i="74"/>
  <c r="G199" i="74"/>
  <c r="F199" i="74"/>
  <c r="G201" i="74"/>
  <c r="F201" i="74"/>
  <c r="G203" i="74"/>
  <c r="F203" i="74"/>
  <c r="G205" i="74"/>
  <c r="F205" i="74"/>
  <c r="G207" i="74"/>
  <c r="F207" i="74"/>
  <c r="G210" i="74"/>
  <c r="F210" i="74"/>
  <c r="G212" i="74"/>
  <c r="F212" i="74"/>
  <c r="G214" i="74"/>
  <c r="F214" i="74"/>
  <c r="G216" i="74"/>
  <c r="F216" i="74"/>
  <c r="G218" i="74"/>
  <c r="F218" i="74"/>
  <c r="G220" i="74"/>
  <c r="F220" i="74"/>
  <c r="G225" i="74"/>
  <c r="F225" i="74"/>
  <c r="G229" i="74"/>
  <c r="F229" i="74"/>
  <c r="G234" i="74"/>
  <c r="F234" i="74"/>
  <c r="G221" i="74"/>
  <c r="F221" i="74"/>
  <c r="G226" i="74"/>
  <c r="F226" i="74"/>
  <c r="G231" i="74"/>
  <c r="F231" i="74"/>
  <c r="G235" i="74"/>
  <c r="F235" i="74"/>
  <c r="B4" i="74"/>
  <c r="B17" i="74"/>
  <c r="B69" i="74"/>
  <c r="H38" i="74"/>
  <c r="J40" i="74" s="1"/>
  <c r="J39" i="74"/>
  <c r="A52" i="74"/>
  <c r="E53" i="74"/>
  <c r="G53" i="74"/>
  <c r="C53" i="74"/>
  <c r="B27" i="74"/>
  <c r="B28" i="74" s="1"/>
  <c r="J38" i="74"/>
  <c r="C42" i="74"/>
  <c r="D42" i="74" s="1"/>
  <c r="AN2" i="74" s="1"/>
  <c r="A46" i="74"/>
  <c r="A54" i="74"/>
  <c r="M189" i="74"/>
  <c r="N10" i="74" s="1"/>
  <c r="L189" i="74"/>
  <c r="I190" i="74"/>
  <c r="A59" i="73"/>
  <c r="A58" i="73"/>
  <c r="A57" i="73"/>
  <c r="B56" i="73"/>
  <c r="A56" i="73"/>
  <c r="B55" i="73"/>
  <c r="A55" i="73"/>
  <c r="B54" i="73"/>
  <c r="A54" i="73"/>
  <c r="B53" i="73"/>
  <c r="A53" i="73"/>
  <c r="B52" i="73"/>
  <c r="A52" i="73"/>
  <c r="D51" i="73"/>
  <c r="C51" i="73"/>
  <c r="B51" i="73"/>
  <c r="J15" i="73"/>
  <c r="J14" i="73"/>
  <c r="J13" i="73"/>
  <c r="J12" i="73"/>
  <c r="J11" i="73"/>
  <c r="J10" i="73"/>
  <c r="J9" i="73"/>
  <c r="J8" i="73"/>
  <c r="J7" i="73"/>
  <c r="J6" i="73"/>
  <c r="J5" i="73"/>
  <c r="J4" i="73"/>
  <c r="J3" i="73"/>
  <c r="A59" i="72"/>
  <c r="A58" i="72"/>
  <c r="A57" i="72"/>
  <c r="B56" i="72"/>
  <c r="A56" i="72"/>
  <c r="B55" i="72"/>
  <c r="A55" i="72"/>
  <c r="B54" i="72"/>
  <c r="A54" i="72"/>
  <c r="B53" i="72"/>
  <c r="A53" i="72"/>
  <c r="B52" i="72"/>
  <c r="A52" i="72"/>
  <c r="D51" i="72"/>
  <c r="C51" i="72"/>
  <c r="B51" i="72"/>
  <c r="J15" i="72"/>
  <c r="J14" i="72"/>
  <c r="J13" i="72"/>
  <c r="J12" i="72"/>
  <c r="J11" i="72"/>
  <c r="J10" i="72"/>
  <c r="J9" i="72"/>
  <c r="J8" i="72"/>
  <c r="J7" i="72"/>
  <c r="J6" i="72"/>
  <c r="J5" i="72"/>
  <c r="J4" i="72"/>
  <c r="J3" i="72"/>
  <c r="B60" i="71"/>
  <c r="A60" i="71"/>
  <c r="A59" i="71"/>
  <c r="A58" i="71"/>
  <c r="A57" i="71"/>
  <c r="B56" i="71"/>
  <c r="A56" i="71"/>
  <c r="B55" i="71"/>
  <c r="A55" i="71"/>
  <c r="B54" i="71"/>
  <c r="A54" i="71"/>
  <c r="B53" i="71"/>
  <c r="A53" i="71"/>
  <c r="B52" i="71"/>
  <c r="A52" i="71"/>
  <c r="D51" i="71"/>
  <c r="C51" i="71"/>
  <c r="B51" i="71"/>
  <c r="K30" i="71"/>
  <c r="K29" i="71"/>
  <c r="K28" i="71"/>
  <c r="K27" i="71"/>
  <c r="K26" i="71"/>
  <c r="K25" i="71"/>
  <c r="K24" i="71"/>
  <c r="K23" i="71"/>
  <c r="K22" i="71"/>
  <c r="K21" i="71"/>
  <c r="K20" i="71"/>
  <c r="K19" i="71"/>
  <c r="K18" i="71"/>
  <c r="K17" i="71"/>
  <c r="K16" i="71"/>
  <c r="K15" i="71"/>
  <c r="K14" i="71"/>
  <c r="K13" i="71"/>
  <c r="K12" i="71"/>
  <c r="K11" i="71"/>
  <c r="K10" i="71"/>
  <c r="K9" i="71"/>
  <c r="K8" i="71"/>
  <c r="K7" i="71"/>
  <c r="K6" i="71"/>
  <c r="K5" i="71"/>
  <c r="K4" i="71"/>
  <c r="K3" i="71"/>
  <c r="B60" i="70"/>
  <c r="A60" i="70"/>
  <c r="A59" i="70"/>
  <c r="A58" i="70"/>
  <c r="A57" i="70"/>
  <c r="B56" i="70"/>
  <c r="A56" i="70"/>
  <c r="B55" i="70"/>
  <c r="A55" i="70"/>
  <c r="B54" i="70"/>
  <c r="A54" i="70"/>
  <c r="B53" i="70"/>
  <c r="A53" i="70"/>
  <c r="B52" i="70"/>
  <c r="A52" i="70"/>
  <c r="D51" i="70"/>
  <c r="C51" i="70"/>
  <c r="B51" i="70"/>
  <c r="K30" i="70"/>
  <c r="K29" i="70"/>
  <c r="K28" i="70"/>
  <c r="K27" i="70"/>
  <c r="K26" i="70"/>
  <c r="K25" i="70"/>
  <c r="K24" i="70"/>
  <c r="K23" i="70"/>
  <c r="K22" i="70"/>
  <c r="K21" i="70"/>
  <c r="K20" i="70"/>
  <c r="K19" i="70"/>
  <c r="K18" i="70"/>
  <c r="K17" i="70"/>
  <c r="K16" i="70"/>
  <c r="K15" i="70"/>
  <c r="K14" i="70"/>
  <c r="K13" i="70"/>
  <c r="K12" i="70"/>
  <c r="K11" i="70"/>
  <c r="K10" i="70"/>
  <c r="K9" i="70"/>
  <c r="K8" i="70"/>
  <c r="K7" i="70"/>
  <c r="K6" i="70"/>
  <c r="K5" i="70"/>
  <c r="K4" i="70"/>
  <c r="K3" i="70"/>
  <c r="A185" i="69"/>
  <c r="A184" i="69"/>
  <c r="A183" i="69"/>
  <c r="A182" i="69"/>
  <c r="A181" i="69"/>
  <c r="A180" i="69"/>
  <c r="A179" i="69"/>
  <c r="B178" i="69"/>
  <c r="A178" i="69"/>
  <c r="B177" i="69"/>
  <c r="A177" i="69"/>
  <c r="A176" i="69"/>
  <c r="A175" i="69"/>
  <c r="A174" i="69"/>
  <c r="B173" i="69"/>
  <c r="A173" i="69"/>
  <c r="A172" i="69"/>
  <c r="A171" i="69"/>
  <c r="B170" i="69"/>
  <c r="A170" i="69"/>
  <c r="A169" i="69"/>
  <c r="A168" i="69"/>
  <c r="B167" i="69"/>
  <c r="A167" i="69"/>
  <c r="B166" i="69"/>
  <c r="A166" i="69"/>
  <c r="B165" i="69"/>
  <c r="A165" i="69"/>
  <c r="B164" i="69"/>
  <c r="A164" i="69"/>
  <c r="A163" i="69"/>
  <c r="A162" i="69"/>
  <c r="B161" i="69"/>
  <c r="A161" i="69"/>
  <c r="B160" i="69"/>
  <c r="A160" i="69"/>
  <c r="A159" i="69"/>
  <c r="A158" i="69"/>
  <c r="B157" i="69"/>
  <c r="A157" i="69"/>
  <c r="A156" i="69"/>
  <c r="A155" i="69"/>
  <c r="A154" i="69"/>
  <c r="A153" i="69"/>
  <c r="B152" i="69"/>
  <c r="A152" i="69"/>
  <c r="B151" i="69"/>
  <c r="A151" i="69"/>
  <c r="B150" i="69"/>
  <c r="A150" i="69"/>
  <c r="B149" i="69"/>
  <c r="A149" i="69"/>
  <c r="B148" i="69"/>
  <c r="A148" i="69"/>
  <c r="B147" i="69"/>
  <c r="A147" i="69"/>
  <c r="B146" i="69"/>
  <c r="B145" i="69"/>
  <c r="A145" i="69"/>
  <c r="B144" i="69"/>
  <c r="A144" i="69"/>
  <c r="B143" i="69"/>
  <c r="A143" i="69"/>
  <c r="B142" i="69"/>
  <c r="A142" i="69"/>
  <c r="B141" i="69"/>
  <c r="A141" i="69"/>
  <c r="B140" i="69"/>
  <c r="A140" i="69"/>
  <c r="B139" i="69"/>
  <c r="A139" i="69"/>
  <c r="B138" i="69"/>
  <c r="A138" i="69"/>
  <c r="A137" i="69"/>
  <c r="B136" i="69"/>
  <c r="A136" i="69"/>
  <c r="A135" i="69"/>
  <c r="B134" i="69"/>
  <c r="B133" i="69"/>
  <c r="A133" i="69"/>
  <c r="A132" i="69"/>
  <c r="B131" i="69"/>
  <c r="A131" i="69"/>
  <c r="A130" i="69"/>
  <c r="B129" i="69"/>
  <c r="A129" i="69"/>
  <c r="B128" i="69"/>
  <c r="A128" i="69"/>
  <c r="A127" i="69"/>
  <c r="A126" i="69"/>
  <c r="B125" i="69"/>
  <c r="A125" i="69"/>
  <c r="B124" i="69"/>
  <c r="A124" i="69"/>
  <c r="A123" i="69"/>
  <c r="B122" i="69"/>
  <c r="A122" i="69"/>
  <c r="B121" i="69"/>
  <c r="A121" i="69"/>
  <c r="B120" i="69"/>
  <c r="A120" i="69"/>
  <c r="B119" i="69"/>
  <c r="A119" i="69"/>
  <c r="A118" i="69"/>
  <c r="B117" i="69"/>
  <c r="A117" i="69"/>
  <c r="A116" i="69"/>
  <c r="B115" i="69"/>
  <c r="A115" i="69"/>
  <c r="B114" i="69"/>
  <c r="A114" i="69"/>
  <c r="A113" i="69"/>
  <c r="A112" i="69"/>
  <c r="B111" i="69"/>
  <c r="A111" i="69"/>
  <c r="A110" i="69"/>
  <c r="A109" i="69"/>
  <c r="A108" i="69"/>
  <c r="B107" i="69"/>
  <c r="A107" i="69"/>
  <c r="A106" i="69"/>
  <c r="A105" i="69"/>
  <c r="B104" i="69"/>
  <c r="A104" i="69"/>
  <c r="A103" i="69"/>
  <c r="B102" i="69"/>
  <c r="A102" i="69"/>
  <c r="B101" i="69"/>
  <c r="A101" i="69"/>
  <c r="B100" i="69"/>
  <c r="A100" i="69"/>
  <c r="B99" i="69"/>
  <c r="A99" i="69"/>
  <c r="B98" i="69"/>
  <c r="A98" i="69"/>
  <c r="B97" i="69"/>
  <c r="A97" i="69"/>
  <c r="A96" i="69"/>
  <c r="A95" i="69"/>
  <c r="A94" i="69"/>
  <c r="A93" i="69"/>
  <c r="A92" i="69"/>
  <c r="A91" i="69"/>
  <c r="D90" i="69"/>
  <c r="C90" i="69"/>
  <c r="B90" i="69"/>
  <c r="T12" i="69"/>
  <c r="T11" i="69"/>
  <c r="T10" i="69"/>
  <c r="T9" i="69"/>
  <c r="T8" i="69"/>
  <c r="T7" i="69"/>
  <c r="A185" i="68"/>
  <c r="A184" i="68"/>
  <c r="A183" i="68"/>
  <c r="A182" i="68"/>
  <c r="A181" i="68"/>
  <c r="A180" i="68"/>
  <c r="A179" i="68"/>
  <c r="B178" i="68"/>
  <c r="A178" i="68"/>
  <c r="B177" i="68"/>
  <c r="A177" i="68"/>
  <c r="A176" i="68"/>
  <c r="A175" i="68"/>
  <c r="A174" i="68"/>
  <c r="B173" i="68"/>
  <c r="A173" i="68"/>
  <c r="A172" i="68"/>
  <c r="A171" i="68"/>
  <c r="B170" i="68"/>
  <c r="A170" i="68"/>
  <c r="A169" i="68"/>
  <c r="A168" i="68"/>
  <c r="B167" i="68"/>
  <c r="A167" i="68"/>
  <c r="B166" i="68"/>
  <c r="A166" i="68"/>
  <c r="B165" i="68"/>
  <c r="A165" i="68"/>
  <c r="B164" i="68"/>
  <c r="A164" i="68"/>
  <c r="A163" i="68"/>
  <c r="A162" i="68"/>
  <c r="B161" i="68"/>
  <c r="A161" i="68"/>
  <c r="B160" i="68"/>
  <c r="A160" i="68"/>
  <c r="A159" i="68"/>
  <c r="A158" i="68"/>
  <c r="B157" i="68"/>
  <c r="A157" i="68"/>
  <c r="A156" i="68"/>
  <c r="A155" i="68"/>
  <c r="A154" i="68"/>
  <c r="A153" i="68"/>
  <c r="B152" i="68"/>
  <c r="A152" i="68"/>
  <c r="B151" i="68"/>
  <c r="A151" i="68"/>
  <c r="B150" i="68"/>
  <c r="A150" i="68"/>
  <c r="B149" i="68"/>
  <c r="A149" i="68"/>
  <c r="B148" i="68"/>
  <c r="A148" i="68"/>
  <c r="B147" i="68"/>
  <c r="A147" i="68"/>
  <c r="B146" i="68"/>
  <c r="B145" i="68"/>
  <c r="A145" i="68"/>
  <c r="B144" i="68"/>
  <c r="A144" i="68"/>
  <c r="B143" i="68"/>
  <c r="A143" i="68"/>
  <c r="B142" i="68"/>
  <c r="A142" i="68"/>
  <c r="B141" i="68"/>
  <c r="A141" i="68"/>
  <c r="B140" i="68"/>
  <c r="A140" i="68"/>
  <c r="B139" i="68"/>
  <c r="A139" i="68"/>
  <c r="B138" i="68"/>
  <c r="A138" i="68"/>
  <c r="A137" i="68"/>
  <c r="B136" i="68"/>
  <c r="A136" i="68"/>
  <c r="A135" i="68"/>
  <c r="B134" i="68"/>
  <c r="B133" i="68"/>
  <c r="A133" i="68"/>
  <c r="A132" i="68"/>
  <c r="B131" i="68"/>
  <c r="A131" i="68"/>
  <c r="A130" i="68"/>
  <c r="B129" i="68"/>
  <c r="A129" i="68"/>
  <c r="B128" i="68"/>
  <c r="A128" i="68"/>
  <c r="A127" i="68"/>
  <c r="A126" i="68"/>
  <c r="B125" i="68"/>
  <c r="A125" i="68"/>
  <c r="B124" i="68"/>
  <c r="A124" i="68"/>
  <c r="A123" i="68"/>
  <c r="B122" i="68"/>
  <c r="A122" i="68"/>
  <c r="B121" i="68"/>
  <c r="A121" i="68"/>
  <c r="B120" i="68"/>
  <c r="A120" i="68"/>
  <c r="B119" i="68"/>
  <c r="A119" i="68"/>
  <c r="A118" i="68"/>
  <c r="B117" i="68"/>
  <c r="A117" i="68"/>
  <c r="A116" i="68"/>
  <c r="B115" i="68"/>
  <c r="A115" i="68"/>
  <c r="B114" i="68"/>
  <c r="A114" i="68"/>
  <c r="A113" i="68"/>
  <c r="A112" i="68"/>
  <c r="B111" i="68"/>
  <c r="A111" i="68"/>
  <c r="A110" i="68"/>
  <c r="A109" i="68"/>
  <c r="A108" i="68"/>
  <c r="B107" i="68"/>
  <c r="A107" i="68"/>
  <c r="A106" i="68"/>
  <c r="A105" i="68"/>
  <c r="B104" i="68"/>
  <c r="A104" i="68"/>
  <c r="A103" i="68"/>
  <c r="B102" i="68"/>
  <c r="A102" i="68"/>
  <c r="B101" i="68"/>
  <c r="A101" i="68"/>
  <c r="B100" i="68"/>
  <c r="A100" i="68"/>
  <c r="B99" i="68"/>
  <c r="A99" i="68"/>
  <c r="B98" i="68"/>
  <c r="A98" i="68"/>
  <c r="B97" i="68"/>
  <c r="A97" i="68"/>
  <c r="A96" i="68"/>
  <c r="A95" i="68"/>
  <c r="A94" i="68"/>
  <c r="A93" i="68"/>
  <c r="A92" i="68"/>
  <c r="A91" i="68"/>
  <c r="D90" i="68"/>
  <c r="C90" i="68"/>
  <c r="B90" i="68"/>
  <c r="T12" i="68"/>
  <c r="T11" i="68"/>
  <c r="T10" i="68"/>
  <c r="T9" i="68"/>
  <c r="T8" i="68"/>
  <c r="T7" i="68"/>
  <c r="L161" i="67"/>
  <c r="K161" i="67"/>
  <c r="J161" i="67"/>
  <c r="I161" i="67"/>
  <c r="H161" i="67"/>
  <c r="L160" i="67"/>
  <c r="K160" i="67"/>
  <c r="J160" i="67"/>
  <c r="I160" i="67"/>
  <c r="H160" i="67"/>
  <c r="L159" i="67"/>
  <c r="K159" i="67"/>
  <c r="J159" i="67"/>
  <c r="I159" i="67"/>
  <c r="H159" i="67"/>
  <c r="L158" i="67"/>
  <c r="K158" i="67"/>
  <c r="J158" i="67"/>
  <c r="I158" i="67"/>
  <c r="H158" i="67"/>
  <c r="L157" i="67"/>
  <c r="K157" i="67"/>
  <c r="J157" i="67"/>
  <c r="I157" i="67"/>
  <c r="H157" i="67"/>
  <c r="L156" i="67"/>
  <c r="K156" i="67"/>
  <c r="J156" i="67"/>
  <c r="I156" i="67"/>
  <c r="H156" i="67"/>
  <c r="L155" i="67"/>
  <c r="K155" i="67"/>
  <c r="J155" i="67"/>
  <c r="I155" i="67"/>
  <c r="H155" i="67"/>
  <c r="L154" i="67"/>
  <c r="K154" i="67"/>
  <c r="J154" i="67"/>
  <c r="I154" i="67"/>
  <c r="H154" i="67"/>
  <c r="L153" i="67"/>
  <c r="K153" i="67"/>
  <c r="J153" i="67"/>
  <c r="I153" i="67"/>
  <c r="H153" i="67"/>
  <c r="G153" i="67"/>
  <c r="F153" i="67"/>
  <c r="E153" i="67"/>
  <c r="D153" i="67"/>
  <c r="C153" i="67"/>
  <c r="B153" i="67"/>
  <c r="AG151" i="67"/>
  <c r="AB151" i="67"/>
  <c r="W151" i="67"/>
  <c r="S151" i="67"/>
  <c r="S153" i="67" s="1"/>
  <c r="Q151" i="67"/>
  <c r="P151" i="67"/>
  <c r="P153" i="67" s="1"/>
  <c r="O151" i="67"/>
  <c r="T151" i="67" s="1"/>
  <c r="T153" i="67" s="1"/>
  <c r="N151" i="67"/>
  <c r="N153" i="67" s="1"/>
  <c r="M151" i="67"/>
  <c r="A137" i="67"/>
  <c r="A136" i="67"/>
  <c r="A135" i="67"/>
  <c r="B134" i="67"/>
  <c r="A134" i="67"/>
  <c r="B133" i="67"/>
  <c r="A133" i="67"/>
  <c r="B132" i="67"/>
  <c r="A132" i="67"/>
  <c r="B130" i="67"/>
  <c r="A130" i="67"/>
  <c r="A140" i="67" s="1"/>
  <c r="B129" i="67"/>
  <c r="A129" i="67"/>
  <c r="B128" i="67"/>
  <c r="A128" i="67"/>
  <c r="B127" i="67"/>
  <c r="A127" i="67"/>
  <c r="B126" i="67"/>
  <c r="A126" i="67"/>
  <c r="B125" i="67"/>
  <c r="A125" i="67"/>
  <c r="B124" i="67"/>
  <c r="A124" i="67"/>
  <c r="B123" i="67"/>
  <c r="A123" i="67"/>
  <c r="B122" i="67"/>
  <c r="A122" i="67"/>
  <c r="B121" i="67"/>
  <c r="A121" i="67"/>
  <c r="B120" i="67"/>
  <c r="A120" i="67"/>
  <c r="B119" i="67"/>
  <c r="A119" i="67"/>
  <c r="A118" i="67"/>
  <c r="B117" i="67"/>
  <c r="A117" i="67"/>
  <c r="A116" i="67"/>
  <c r="B115" i="67"/>
  <c r="A115" i="67"/>
  <c r="B114" i="67"/>
  <c r="A114" i="67"/>
  <c r="A113" i="67"/>
  <c r="A112" i="67"/>
  <c r="B111" i="67"/>
  <c r="A111" i="67"/>
  <c r="A110" i="67"/>
  <c r="A109" i="67"/>
  <c r="A108" i="67"/>
  <c r="B107" i="67"/>
  <c r="A107" i="67"/>
  <c r="A106" i="67"/>
  <c r="A105" i="67"/>
  <c r="B104" i="67"/>
  <c r="A104" i="67"/>
  <c r="A103" i="67"/>
  <c r="B102" i="67"/>
  <c r="A102" i="67"/>
  <c r="B101" i="67"/>
  <c r="A101" i="67"/>
  <c r="B100" i="67"/>
  <c r="A100" i="67"/>
  <c r="B99" i="67"/>
  <c r="A99" i="67"/>
  <c r="B98" i="67"/>
  <c r="A98" i="67"/>
  <c r="B97" i="67"/>
  <c r="A97" i="67"/>
  <c r="A96" i="67"/>
  <c r="A95" i="67"/>
  <c r="A94" i="67"/>
  <c r="A93" i="67"/>
  <c r="A92" i="67"/>
  <c r="A91" i="67"/>
  <c r="D90" i="67"/>
  <c r="C90" i="67"/>
  <c r="B90" i="67"/>
  <c r="Q51" i="67"/>
  <c r="Q50" i="67"/>
  <c r="Q49" i="67"/>
  <c r="Q48" i="67"/>
  <c r="Q47" i="67"/>
  <c r="Q46" i="67"/>
  <c r="Q45" i="67"/>
  <c r="Q44" i="67"/>
  <c r="Q43" i="67"/>
  <c r="Q42" i="67"/>
  <c r="Q41" i="67"/>
  <c r="Q40" i="67"/>
  <c r="Q39" i="67"/>
  <c r="Q38" i="67"/>
  <c r="Q37" i="67"/>
  <c r="Q36" i="67"/>
  <c r="Q35" i="67"/>
  <c r="Q34" i="67"/>
  <c r="Q33" i="67"/>
  <c r="Q32" i="67"/>
  <c r="Q31" i="67"/>
  <c r="P31" i="67"/>
  <c r="Q30" i="67"/>
  <c r="P30" i="67"/>
  <c r="Q29" i="67"/>
  <c r="P29" i="67"/>
  <c r="Q28" i="67"/>
  <c r="P28" i="67"/>
  <c r="Q27" i="67"/>
  <c r="P27" i="67"/>
  <c r="Q26" i="67"/>
  <c r="P26" i="67"/>
  <c r="Q25" i="67"/>
  <c r="P25" i="67"/>
  <c r="Q24" i="67"/>
  <c r="P24" i="67"/>
  <c r="Q23" i="67"/>
  <c r="P23" i="67"/>
  <c r="Q22" i="67"/>
  <c r="P22" i="67"/>
  <c r="Q21" i="67"/>
  <c r="P21" i="67"/>
  <c r="Q20" i="67"/>
  <c r="P20" i="67"/>
  <c r="Q19" i="67"/>
  <c r="P19" i="67"/>
  <c r="Q18" i="67"/>
  <c r="P18" i="67"/>
  <c r="Q17" i="67"/>
  <c r="P17" i="67"/>
  <c r="Q16" i="67"/>
  <c r="P16" i="67"/>
  <c r="Q15" i="67"/>
  <c r="P15" i="67"/>
  <c r="Q14" i="67"/>
  <c r="P14" i="67"/>
  <c r="Q13" i="67"/>
  <c r="P13" i="67"/>
  <c r="Q12" i="67"/>
  <c r="P12" i="67"/>
  <c r="Q11" i="67"/>
  <c r="P11" i="67"/>
  <c r="Q10" i="67"/>
  <c r="P10" i="67"/>
  <c r="Q9" i="67"/>
  <c r="P9" i="67"/>
  <c r="G9" i="67"/>
  <c r="F9" i="67"/>
  <c r="E9" i="67"/>
  <c r="D9" i="67"/>
  <c r="C9" i="67"/>
  <c r="Q8" i="67"/>
  <c r="P8" i="67"/>
  <c r="Q7" i="67"/>
  <c r="P7" i="67"/>
  <c r="G7" i="67"/>
  <c r="F7" i="67"/>
  <c r="E7" i="67"/>
  <c r="D7" i="67"/>
  <c r="H7" i="67" s="1"/>
  <c r="C7" i="67"/>
  <c r="Q6" i="67"/>
  <c r="P6" i="67"/>
  <c r="Q5" i="67"/>
  <c r="P5" i="67"/>
  <c r="O5" i="67"/>
  <c r="O6" i="67" s="1"/>
  <c r="O7" i="67" s="1"/>
  <c r="O8" i="67" s="1"/>
  <c r="O9" i="67" s="1"/>
  <c r="O10" i="67" s="1"/>
  <c r="O11" i="67" s="1"/>
  <c r="O12" i="67" s="1"/>
  <c r="O13" i="67" s="1"/>
  <c r="O14" i="67" s="1"/>
  <c r="O15" i="67" s="1"/>
  <c r="O16" i="67" s="1"/>
  <c r="O17" i="67" s="1"/>
  <c r="O18" i="67" s="1"/>
  <c r="O19" i="67" s="1"/>
  <c r="F5" i="67"/>
  <c r="E5" i="67"/>
  <c r="D5" i="67"/>
  <c r="Q4" i="67"/>
  <c r="P4" i="67"/>
  <c r="G4" i="67"/>
  <c r="F4" i="67"/>
  <c r="E4" i="67"/>
  <c r="L161" i="66"/>
  <c r="K161" i="66"/>
  <c r="J161" i="66"/>
  <c r="I161" i="66"/>
  <c r="H161" i="66"/>
  <c r="L160" i="66"/>
  <c r="K160" i="66"/>
  <c r="J160" i="66"/>
  <c r="I160" i="66"/>
  <c r="H160" i="66"/>
  <c r="L159" i="66"/>
  <c r="K159" i="66"/>
  <c r="J159" i="66"/>
  <c r="I159" i="66"/>
  <c r="H159" i="66"/>
  <c r="L158" i="66"/>
  <c r="K158" i="66"/>
  <c r="J158" i="66"/>
  <c r="I158" i="66"/>
  <c r="H158" i="66"/>
  <c r="L157" i="66"/>
  <c r="K157" i="66"/>
  <c r="J157" i="66"/>
  <c r="I157" i="66"/>
  <c r="H157" i="66"/>
  <c r="L156" i="66"/>
  <c r="K156" i="66"/>
  <c r="J156" i="66"/>
  <c r="I156" i="66"/>
  <c r="H156" i="66"/>
  <c r="L155" i="66"/>
  <c r="K155" i="66"/>
  <c r="J155" i="66"/>
  <c r="I155" i="66"/>
  <c r="H155" i="66"/>
  <c r="L154" i="66"/>
  <c r="K154" i="66"/>
  <c r="J154" i="66"/>
  <c r="I154" i="66"/>
  <c r="H154" i="66"/>
  <c r="U153" i="66"/>
  <c r="O153" i="66"/>
  <c r="L153" i="66"/>
  <c r="K153" i="66"/>
  <c r="J153" i="66"/>
  <c r="I153" i="66"/>
  <c r="H153" i="66"/>
  <c r="G153" i="66"/>
  <c r="F153" i="66"/>
  <c r="E153" i="66"/>
  <c r="D153" i="66"/>
  <c r="C153" i="66"/>
  <c r="B153" i="66"/>
  <c r="AG151" i="66"/>
  <c r="AB151" i="66"/>
  <c r="W151" i="66"/>
  <c r="U151" i="66"/>
  <c r="R151" i="66"/>
  <c r="R153" i="66" s="1"/>
  <c r="Q151" i="66"/>
  <c r="V151" i="66" s="1"/>
  <c r="V153" i="66" s="1"/>
  <c r="P151" i="66"/>
  <c r="P153" i="66" s="1"/>
  <c r="O151" i="66"/>
  <c r="T151" i="66" s="1"/>
  <c r="T153" i="66" s="1"/>
  <c r="N151" i="66"/>
  <c r="M151" i="66"/>
  <c r="M153" i="66" s="1"/>
  <c r="A140" i="66"/>
  <c r="A137" i="66"/>
  <c r="A136" i="66"/>
  <c r="A135" i="66"/>
  <c r="B134" i="66"/>
  <c r="A134" i="66"/>
  <c r="B133" i="66"/>
  <c r="A133" i="66"/>
  <c r="B132" i="66"/>
  <c r="A132" i="66"/>
  <c r="B130" i="66"/>
  <c r="A130" i="66"/>
  <c r="B129" i="66"/>
  <c r="A129" i="66"/>
  <c r="B128" i="66"/>
  <c r="A128" i="66"/>
  <c r="B127" i="66"/>
  <c r="A127" i="66"/>
  <c r="B126" i="66"/>
  <c r="A126" i="66"/>
  <c r="B125" i="66"/>
  <c r="A125" i="66"/>
  <c r="B124" i="66"/>
  <c r="A124" i="66"/>
  <c r="B123" i="66"/>
  <c r="A123" i="66"/>
  <c r="B122" i="66"/>
  <c r="A122" i="66"/>
  <c r="B121" i="66"/>
  <c r="A121" i="66"/>
  <c r="B120" i="66"/>
  <c r="A120" i="66"/>
  <c r="B119" i="66"/>
  <c r="A119" i="66"/>
  <c r="A118" i="66"/>
  <c r="B117" i="66"/>
  <c r="A117" i="66"/>
  <c r="A116" i="66"/>
  <c r="B115" i="66"/>
  <c r="A115" i="66"/>
  <c r="B114" i="66"/>
  <c r="A114" i="66"/>
  <c r="A113" i="66"/>
  <c r="A112" i="66"/>
  <c r="B111" i="66"/>
  <c r="A111" i="66"/>
  <c r="A110" i="66"/>
  <c r="A109" i="66"/>
  <c r="A108" i="66"/>
  <c r="B107" i="66"/>
  <c r="A107" i="66"/>
  <c r="A106" i="66"/>
  <c r="A105" i="66"/>
  <c r="B104" i="66"/>
  <c r="A104" i="66"/>
  <c r="A103" i="66"/>
  <c r="B102" i="66"/>
  <c r="A102" i="66"/>
  <c r="B101" i="66"/>
  <c r="A101" i="66"/>
  <c r="B100" i="66"/>
  <c r="A100" i="66"/>
  <c r="B99" i="66"/>
  <c r="A99" i="66"/>
  <c r="B98" i="66"/>
  <c r="A98" i="66"/>
  <c r="B97" i="66"/>
  <c r="A97" i="66"/>
  <c r="A96" i="66"/>
  <c r="A95" i="66"/>
  <c r="A94" i="66"/>
  <c r="A93" i="66"/>
  <c r="A92" i="66"/>
  <c r="A91" i="66"/>
  <c r="D90" i="66"/>
  <c r="C90" i="66"/>
  <c r="B90" i="66"/>
  <c r="Q51" i="66"/>
  <c r="Q50" i="66"/>
  <c r="Q49" i="66"/>
  <c r="Q48" i="66"/>
  <c r="Q47" i="66"/>
  <c r="Q46" i="66"/>
  <c r="Q45" i="66"/>
  <c r="Q44" i="66"/>
  <c r="Q43" i="66"/>
  <c r="Q42" i="66"/>
  <c r="Q41" i="66"/>
  <c r="Q40" i="66"/>
  <c r="Q39" i="66"/>
  <c r="Q38" i="66"/>
  <c r="Q37" i="66"/>
  <c r="Q36" i="66"/>
  <c r="Q35" i="66"/>
  <c r="Q34" i="66"/>
  <c r="Q33" i="66"/>
  <c r="Q32" i="66"/>
  <c r="Q31" i="66"/>
  <c r="P31" i="66"/>
  <c r="Q30" i="66"/>
  <c r="P30" i="66"/>
  <c r="Q29" i="66"/>
  <c r="P29" i="66"/>
  <c r="Q28" i="66"/>
  <c r="P28" i="66"/>
  <c r="Q27" i="66"/>
  <c r="P27" i="66"/>
  <c r="Q26" i="66"/>
  <c r="P26" i="66"/>
  <c r="Q25" i="66"/>
  <c r="P25" i="66"/>
  <c r="Q24" i="66"/>
  <c r="P24" i="66"/>
  <c r="Q23" i="66"/>
  <c r="P23" i="66"/>
  <c r="Q22" i="66"/>
  <c r="P22" i="66"/>
  <c r="Q21" i="66"/>
  <c r="P21" i="66"/>
  <c r="Q20" i="66"/>
  <c r="P20" i="66"/>
  <c r="Q19" i="66"/>
  <c r="P19" i="66"/>
  <c r="Q18" i="66"/>
  <c r="P18" i="66"/>
  <c r="Q17" i="66"/>
  <c r="P17" i="66"/>
  <c r="Q16" i="66"/>
  <c r="P16" i="66"/>
  <c r="Q15" i="66"/>
  <c r="P15" i="66"/>
  <c r="Q14" i="66"/>
  <c r="P14" i="66"/>
  <c r="Q13" i="66"/>
  <c r="P13" i="66"/>
  <c r="Q12" i="66"/>
  <c r="P12" i="66"/>
  <c r="Q11" i="66"/>
  <c r="P11" i="66"/>
  <c r="Q10" i="66"/>
  <c r="P10" i="66"/>
  <c r="Q9" i="66"/>
  <c r="P9" i="66"/>
  <c r="G9" i="66"/>
  <c r="F9" i="66"/>
  <c r="E9" i="66"/>
  <c r="D9" i="66"/>
  <c r="C9" i="66"/>
  <c r="Q8" i="66"/>
  <c r="P8" i="66"/>
  <c r="Q7" i="66"/>
  <c r="P7" i="66"/>
  <c r="G7" i="66"/>
  <c r="F7" i="66"/>
  <c r="E7" i="66"/>
  <c r="D7" i="66"/>
  <c r="C7" i="66"/>
  <c r="Q6" i="66"/>
  <c r="P6" i="66"/>
  <c r="Q5" i="66"/>
  <c r="P5" i="66"/>
  <c r="O5" i="66"/>
  <c r="O6" i="66" s="1"/>
  <c r="F5" i="66"/>
  <c r="E5" i="66"/>
  <c r="D5" i="66"/>
  <c r="Q4" i="66"/>
  <c r="P4" i="66"/>
  <c r="G4" i="66"/>
  <c r="F4" i="66"/>
  <c r="E4" i="66"/>
  <c r="J41" i="74" l="1"/>
  <c r="G42" i="75"/>
  <c r="G42" i="74"/>
  <c r="A62" i="75"/>
  <c r="A9" i="74"/>
  <c r="L190" i="74"/>
  <c r="M190" i="74"/>
  <c r="N11" i="74" s="1"/>
  <c r="O20" i="67"/>
  <c r="O21" i="67" s="1"/>
  <c r="O22" i="67" s="1"/>
  <c r="O23" i="67" s="1"/>
  <c r="O24" i="67" s="1"/>
  <c r="O25" i="67" s="1"/>
  <c r="O26" i="67" s="1"/>
  <c r="O27" i="67" s="1"/>
  <c r="O28" i="67" s="1"/>
  <c r="O29" i="67" s="1"/>
  <c r="O30" i="67" s="1"/>
  <c r="O31" i="67" s="1"/>
  <c r="O32" i="67" s="1"/>
  <c r="O33" i="67" s="1"/>
  <c r="O34" i="67" s="1"/>
  <c r="O35" i="67" s="1"/>
  <c r="O36" i="67" s="1"/>
  <c r="O37" i="67" s="1"/>
  <c r="O38" i="67" s="1"/>
  <c r="O39" i="67" s="1"/>
  <c r="O40" i="67" s="1"/>
  <c r="O41" i="67" s="1"/>
  <c r="O42" i="67" s="1"/>
  <c r="O43" i="67" s="1"/>
  <c r="O44" i="67" s="1"/>
  <c r="O45" i="67" s="1"/>
  <c r="O46" i="67" s="1"/>
  <c r="O47" i="67" s="1"/>
  <c r="O48" i="67" s="1"/>
  <c r="O49" i="67" s="1"/>
  <c r="O50" i="67" s="1"/>
  <c r="O51" i="67" s="1"/>
  <c r="H9" i="67"/>
  <c r="M153" i="67"/>
  <c r="R151" i="67"/>
  <c r="R153" i="67" s="1"/>
  <c r="V151" i="67"/>
  <c r="V153" i="67" s="1"/>
  <c r="Q153" i="67"/>
  <c r="A139" i="67"/>
  <c r="A138" i="67"/>
  <c r="O153" i="67"/>
  <c r="U151" i="67"/>
  <c r="U153" i="67" s="1"/>
  <c r="O7" i="66"/>
  <c r="H9" i="66"/>
  <c r="H7" i="66"/>
  <c r="A139" i="66"/>
  <c r="A138" i="66"/>
  <c r="N153" i="66"/>
  <c r="S151" i="66"/>
  <c r="S153" i="66" s="1"/>
  <c r="Q153" i="66"/>
  <c r="G18" i="52"/>
  <c r="G84" i="52"/>
  <c r="B60" i="63"/>
  <c r="A60" i="63"/>
  <c r="G89" i="52"/>
  <c r="G88" i="52"/>
  <c r="G87" i="52"/>
  <c r="I37" i="59"/>
  <c r="A62" i="74" l="1"/>
  <c r="N12" i="74"/>
  <c r="C66" i="74" s="1"/>
  <c r="O8" i="66"/>
  <c r="E60" i="63"/>
  <c r="O9" i="66" l="1"/>
  <c r="B66" i="59"/>
  <c r="E19" i="59"/>
  <c r="O10" i="66" l="1"/>
  <c r="G52" i="52"/>
  <c r="F52" i="52"/>
  <c r="E52" i="52"/>
  <c r="D52" i="52"/>
  <c r="B63" i="59"/>
  <c r="B62" i="59"/>
  <c r="B56" i="59"/>
  <c r="O11" i="66" l="1"/>
  <c r="C63" i="59" a="1"/>
  <c r="D62" i="59" a="1"/>
  <c r="C62" i="59" a="1"/>
  <c r="C63" i="59" l="1"/>
  <c r="D62" i="59"/>
  <c r="C62" i="59"/>
  <c r="O12" i="66"/>
  <c r="D63" i="59" a="1"/>
  <c r="H55" i="71"/>
  <c r="H136" i="69"/>
  <c r="H150" i="69"/>
  <c r="H162" i="69"/>
  <c r="H142" i="69"/>
  <c r="H160" i="69"/>
  <c r="H92" i="66"/>
  <c r="Y161" i="67"/>
  <c r="Y158" i="67"/>
  <c r="H57" i="73"/>
  <c r="C222" i="74" a="1"/>
  <c r="H147" i="66"/>
  <c r="H123" i="67"/>
  <c r="H113" i="68"/>
  <c r="H55" i="70"/>
  <c r="H110" i="66"/>
  <c r="H126" i="67"/>
  <c r="H111" i="67"/>
  <c r="H173" i="69"/>
  <c r="H116" i="69"/>
  <c r="H94" i="66"/>
  <c r="H53" i="70"/>
  <c r="H106" i="67"/>
  <c r="H109" i="66"/>
  <c r="H157" i="69"/>
  <c r="C221" i="75" a="1"/>
  <c r="H114" i="66"/>
  <c r="H103" i="67"/>
  <c r="X154" i="66"/>
  <c r="H149" i="66"/>
  <c r="H105" i="66"/>
  <c r="H129" i="69"/>
  <c r="H112" i="67"/>
  <c r="H182" i="69"/>
  <c r="H57" i="70"/>
  <c r="H117" i="69"/>
  <c r="H164" i="68"/>
  <c r="H143" i="67"/>
  <c r="H141" i="69"/>
  <c r="H127" i="67"/>
  <c r="AA161" i="66"/>
  <c r="H159" i="69"/>
  <c r="H172" i="68"/>
  <c r="AA159" i="67"/>
  <c r="H111" i="68"/>
  <c r="H118" i="68"/>
  <c r="H99" i="68"/>
  <c r="W155" i="67"/>
  <c r="H117" i="67"/>
  <c r="H138" i="69"/>
  <c r="H136" i="66"/>
  <c r="H137" i="69"/>
  <c r="H117" i="68"/>
  <c r="H130" i="68"/>
  <c r="H140" i="69"/>
  <c r="H113" i="69"/>
  <c r="H115" i="66"/>
  <c r="H108" i="69"/>
  <c r="H120" i="66"/>
  <c r="H94" i="68"/>
  <c r="AA156" i="67"/>
  <c r="H95" i="69"/>
  <c r="H106" i="68"/>
  <c r="W161" i="67"/>
  <c r="H137" i="66"/>
  <c r="Y157" i="66"/>
  <c r="H124" i="68"/>
  <c r="H114" i="69"/>
  <c r="H98" i="67"/>
  <c r="H58" i="71"/>
  <c r="H57" i="72"/>
  <c r="H63" i="59"/>
  <c r="H170" i="69"/>
  <c r="C221" i="74" a="1"/>
  <c r="H126" i="66"/>
  <c r="H167" i="69"/>
  <c r="H114" i="68"/>
  <c r="H138" i="66"/>
  <c r="H97" i="66"/>
  <c r="H52" i="71"/>
  <c r="H148" i="66"/>
  <c r="H56" i="73"/>
  <c r="H128" i="66"/>
  <c r="H147" i="67"/>
  <c r="H110" i="68"/>
  <c r="H101" i="66"/>
  <c r="H125" i="67"/>
  <c r="H130" i="69"/>
  <c r="X161" i="67"/>
  <c r="Y157" i="67"/>
  <c r="H183" i="69"/>
  <c r="H95" i="68"/>
  <c r="H139" i="69"/>
  <c r="H111" i="69"/>
  <c r="H100" i="68"/>
  <c r="D222" i="75" a="1"/>
  <c r="H94" i="67"/>
  <c r="H98" i="68"/>
  <c r="H128" i="69"/>
  <c r="H153" i="69"/>
  <c r="H98" i="66"/>
  <c r="H58" i="72"/>
  <c r="H180" i="68"/>
  <c r="H174" i="69"/>
  <c r="H59" i="71"/>
  <c r="H161" i="69"/>
  <c r="H112" i="66"/>
  <c r="H129" i="68"/>
  <c r="H166" i="69"/>
  <c r="X159" i="67"/>
  <c r="Z157" i="66"/>
  <c r="H59" i="73"/>
  <c r="H128" i="67"/>
  <c r="H166" i="68"/>
  <c r="H122" i="67"/>
  <c r="H115" i="68"/>
  <c r="H144" i="69"/>
  <c r="Z156" i="66"/>
  <c r="C222" i="75" a="1"/>
  <c r="H52" i="72"/>
  <c r="H163" i="68"/>
  <c r="H167" i="68"/>
  <c r="H127" i="66"/>
  <c r="H120" i="68"/>
  <c r="H140" i="66"/>
  <c r="H152" i="69"/>
  <c r="H96" i="69"/>
  <c r="Y160" i="66"/>
  <c r="Y160" i="67"/>
  <c r="H108" i="67"/>
  <c r="H104" i="66"/>
  <c r="H103" i="66"/>
  <c r="Z155" i="66"/>
  <c r="H53" i="71"/>
  <c r="H119" i="69"/>
  <c r="Z158" i="66"/>
  <c r="H54" i="72"/>
  <c r="H168" i="69"/>
  <c r="H117" i="66"/>
  <c r="H118" i="67"/>
  <c r="H119" i="67"/>
  <c r="H109" i="69"/>
  <c r="H105" i="68"/>
  <c r="H99" i="66"/>
  <c r="Y161" i="66"/>
  <c r="Y156" i="67"/>
  <c r="H127" i="69"/>
  <c r="H146" i="66"/>
  <c r="H126" i="69"/>
  <c r="H178" i="68"/>
  <c r="W155" i="66"/>
  <c r="H93" i="69"/>
  <c r="H178" i="69"/>
  <c r="H101" i="69"/>
  <c r="H132" i="66"/>
  <c r="H56" i="71"/>
  <c r="H91" i="66"/>
  <c r="H155" i="68"/>
  <c r="H177" i="68"/>
  <c r="Y158" i="66"/>
  <c r="H103" i="69"/>
  <c r="H115" i="67"/>
  <c r="H92" i="67"/>
  <c r="H149" i="69"/>
  <c r="H145" i="66"/>
  <c r="AA160" i="67"/>
  <c r="H143" i="66"/>
  <c r="AA158" i="66"/>
  <c r="H99" i="67"/>
  <c r="H121" i="67"/>
  <c r="H150" i="67"/>
  <c r="H91" i="67"/>
  <c r="Z160" i="67"/>
  <c r="H130" i="67"/>
  <c r="H91" i="68"/>
  <c r="H100" i="69"/>
  <c r="W156" i="67"/>
  <c r="H122" i="69"/>
  <c r="X155" i="66"/>
  <c r="H176" i="69"/>
  <c r="Y156" i="66"/>
  <c r="H173" i="68"/>
  <c r="H121" i="69"/>
  <c r="H112" i="68"/>
  <c r="H54" i="70"/>
  <c r="H91" i="69"/>
  <c r="H141" i="68"/>
  <c r="H95" i="66"/>
  <c r="H137" i="67"/>
  <c r="H179" i="69"/>
  <c r="AA157" i="66"/>
  <c r="H119" i="66"/>
  <c r="H156" i="68"/>
  <c r="H60" i="71"/>
  <c r="Z154" i="67"/>
  <c r="H149" i="68"/>
  <c r="X156" i="66"/>
  <c r="H135" i="66"/>
  <c r="H144" i="68"/>
  <c r="H107" i="67"/>
  <c r="H174" i="68"/>
  <c r="H97" i="68"/>
  <c r="W159" i="67"/>
  <c r="H181" i="68"/>
  <c r="H100" i="66"/>
  <c r="H133" i="66"/>
  <c r="H131" i="68"/>
  <c r="H145" i="68"/>
  <c r="H148" i="69"/>
  <c r="H107" i="66"/>
  <c r="H118" i="69"/>
  <c r="H142" i="68"/>
  <c r="H151" i="68"/>
  <c r="X158" i="66"/>
  <c r="H148" i="68"/>
  <c r="H60" i="70"/>
  <c r="H182" i="68"/>
  <c r="H53" i="73"/>
  <c r="H122" i="68"/>
  <c r="H158" i="68"/>
  <c r="H125" i="66"/>
  <c r="H103" i="68"/>
  <c r="H99" i="69"/>
  <c r="H60" i="72"/>
  <c r="Z161" i="67"/>
  <c r="H124" i="66"/>
  <c r="H139" i="67"/>
  <c r="AA161" i="67"/>
  <c r="H104" i="67"/>
  <c r="H56" i="72"/>
  <c r="H104" i="68"/>
  <c r="H165" i="69"/>
  <c r="H140" i="68"/>
  <c r="H147" i="68"/>
  <c r="H94" i="69"/>
  <c r="H101" i="67"/>
  <c r="H59" i="72"/>
  <c r="H134" i="66"/>
  <c r="H161" i="68"/>
  <c r="H131" i="66"/>
  <c r="H134" i="69"/>
  <c r="H136" i="67"/>
  <c r="D222" i="74" a="1"/>
  <c r="W160" i="67"/>
  <c r="AA160" i="66"/>
  <c r="H123" i="66"/>
  <c r="H134" i="67"/>
  <c r="H97" i="67"/>
  <c r="H114" i="67"/>
  <c r="W161" i="66"/>
  <c r="H132" i="68"/>
  <c r="H175" i="69"/>
  <c r="H97" i="69"/>
  <c r="W154" i="66"/>
  <c r="H107" i="68"/>
  <c r="H129" i="66"/>
  <c r="H102" i="69"/>
  <c r="H135" i="68"/>
  <c r="H58" i="73"/>
  <c r="H148" i="67"/>
  <c r="X157" i="67"/>
  <c r="D221" i="75" a="1"/>
  <c r="H54" i="71"/>
  <c r="H150" i="66"/>
  <c r="X155" i="67"/>
  <c r="H133" i="69"/>
  <c r="H138" i="67"/>
  <c r="X156" i="67"/>
  <c r="H156" i="69"/>
  <c r="H184" i="69"/>
  <c r="H60" i="63"/>
  <c r="H183" i="68"/>
  <c r="H164" i="69"/>
  <c r="H93" i="67"/>
  <c r="AA157" i="67"/>
  <c r="H149" i="67"/>
  <c r="H105" i="69"/>
  <c r="H110" i="67"/>
  <c r="H144" i="67"/>
  <c r="W160" i="66"/>
  <c r="H165" i="68"/>
  <c r="H93" i="66"/>
  <c r="W156" i="66"/>
  <c r="D221" i="74" a="1"/>
  <c r="Y159" i="66"/>
  <c r="H179" i="68"/>
  <c r="H181" i="69"/>
  <c r="H171" i="68"/>
  <c r="H57" i="71"/>
  <c r="H121" i="68"/>
  <c r="Y154" i="66"/>
  <c r="H116" i="66"/>
  <c r="X158" i="67"/>
  <c r="H169" i="68"/>
  <c r="AA158" i="67"/>
  <c r="H107" i="69"/>
  <c r="H154" i="68"/>
  <c r="Z154" i="66"/>
  <c r="H116" i="68"/>
  <c r="H100" i="67"/>
  <c r="H159" i="68"/>
  <c r="H170" i="68"/>
  <c r="AA155" i="66"/>
  <c r="H162" i="68"/>
  <c r="Y155" i="66"/>
  <c r="H142" i="67"/>
  <c r="H102" i="68"/>
  <c r="AA159" i="66"/>
  <c r="H102" i="66"/>
  <c r="H112" i="69"/>
  <c r="X160" i="67"/>
  <c r="Z157" i="67"/>
  <c r="H131" i="69"/>
  <c r="AA156" i="66"/>
  <c r="W158" i="66"/>
  <c r="H127" i="68"/>
  <c r="H140" i="67"/>
  <c r="H131" i="67"/>
  <c r="H59" i="70"/>
  <c r="H132" i="67"/>
  <c r="H137" i="68"/>
  <c r="H121" i="66"/>
  <c r="Z159" i="66"/>
  <c r="H92" i="69"/>
  <c r="H172" i="69"/>
  <c r="H133" i="67"/>
  <c r="H58" i="70"/>
  <c r="W157" i="66"/>
  <c r="H60" i="73"/>
  <c r="H136" i="68"/>
  <c r="H122" i="66"/>
  <c r="H185" i="69"/>
  <c r="H144" i="66"/>
  <c r="H111" i="66"/>
  <c r="H125" i="68"/>
  <c r="H141" i="67"/>
  <c r="Y159" i="67"/>
  <c r="H56" i="70"/>
  <c r="W158" i="67"/>
  <c r="H108" i="66"/>
  <c r="Z161" i="66"/>
  <c r="H171" i="69"/>
  <c r="X160" i="66"/>
  <c r="H146" i="67"/>
  <c r="H92" i="68"/>
  <c r="Z160" i="66"/>
  <c r="H142" i="66"/>
  <c r="H135" i="67"/>
  <c r="H177" i="69"/>
  <c r="H55" i="72"/>
  <c r="H55" i="73"/>
  <c r="H105" i="67"/>
  <c r="H128" i="68"/>
  <c r="H143" i="68"/>
  <c r="H118" i="66"/>
  <c r="AA155" i="67"/>
  <c r="W157" i="67"/>
  <c r="Z158" i="67"/>
  <c r="Y154" i="67"/>
  <c r="Z159" i="67"/>
  <c r="H146" i="69"/>
  <c r="H152" i="68"/>
  <c r="H184" i="68"/>
  <c r="H106" i="66"/>
  <c r="H110" i="69"/>
  <c r="H154" i="69"/>
  <c r="H132" i="69"/>
  <c r="H125" i="69"/>
  <c r="H139" i="68"/>
  <c r="H120" i="69"/>
  <c r="H153" i="68"/>
  <c r="H143" i="69"/>
  <c r="H95" i="67"/>
  <c r="H109" i="68"/>
  <c r="H53" i="72"/>
  <c r="H169" i="69"/>
  <c r="X159" i="66"/>
  <c r="H120" i="67"/>
  <c r="H141" i="66"/>
  <c r="H98" i="69"/>
  <c r="H134" i="68"/>
  <c r="H155" i="69"/>
  <c r="AA154" i="67"/>
  <c r="H101" i="68"/>
  <c r="H135" i="69"/>
  <c r="H96" i="68"/>
  <c r="H106" i="69"/>
  <c r="H104" i="69"/>
  <c r="H150" i="68"/>
  <c r="H113" i="67"/>
  <c r="H160" i="68"/>
  <c r="H175" i="68"/>
  <c r="Z155" i="67"/>
  <c r="H151" i="69"/>
  <c r="H176" i="68"/>
  <c r="H130" i="66"/>
  <c r="H145" i="67"/>
  <c r="H146" i="68"/>
  <c r="X157" i="66"/>
  <c r="H62" i="59"/>
  <c r="AA154" i="66"/>
  <c r="W154" i="67"/>
  <c r="H129" i="67"/>
  <c r="H115" i="69"/>
  <c r="H124" i="67"/>
  <c r="H109" i="67"/>
  <c r="H93" i="68"/>
  <c r="H147" i="69"/>
  <c r="H119" i="68"/>
  <c r="Y155" i="67"/>
  <c r="H96" i="66"/>
  <c r="H116" i="67"/>
  <c r="H108" i="68"/>
  <c r="H168" i="68"/>
  <c r="H133" i="68"/>
  <c r="H145" i="69"/>
  <c r="H113" i="66"/>
  <c r="H96" i="67"/>
  <c r="H158" i="69"/>
  <c r="W159" i="66"/>
  <c r="H52" i="70"/>
  <c r="H180" i="69"/>
  <c r="H157" i="68"/>
  <c r="X161" i="66"/>
  <c r="H123" i="69"/>
  <c r="X154" i="67"/>
  <c r="H139" i="66"/>
  <c r="H123" i="68"/>
  <c r="H185" i="68"/>
  <c r="H102" i="67"/>
  <c r="H126" i="68"/>
  <c r="H54" i="73"/>
  <c r="H52" i="73"/>
  <c r="H163" i="69"/>
  <c r="Z156" i="67"/>
  <c r="H124" i="69"/>
  <c r="H138" i="68"/>
  <c r="G106" i="68" l="1"/>
  <c r="F106" i="68"/>
  <c r="F140" i="69"/>
  <c r="G140" i="69"/>
  <c r="G138" i="68"/>
  <c r="F138" i="68"/>
  <c r="G158" i="69"/>
  <c r="F158" i="69"/>
  <c r="AE159" i="67"/>
  <c r="AJ159" i="67"/>
  <c r="F163" i="68"/>
  <c r="G163" i="68"/>
  <c r="F132" i="68"/>
  <c r="G132" i="68"/>
  <c r="F176" i="69"/>
  <c r="G176" i="69"/>
  <c r="F95" i="69"/>
  <c r="G95" i="69"/>
  <c r="G130" i="68"/>
  <c r="F130" i="68"/>
  <c r="G54" i="71"/>
  <c r="F54" i="71"/>
  <c r="G96" i="67"/>
  <c r="F96" i="67"/>
  <c r="AD154" i="67"/>
  <c r="AI154" i="67"/>
  <c r="AD157" i="66"/>
  <c r="AI157" i="66"/>
  <c r="AB161" i="66"/>
  <c r="AG161" i="66"/>
  <c r="AC155" i="66"/>
  <c r="AH155" i="66"/>
  <c r="AK156" i="67"/>
  <c r="AF156" i="67"/>
  <c r="G117" i="68"/>
  <c r="F117" i="68"/>
  <c r="F63" i="59"/>
  <c r="I63" i="59"/>
  <c r="G63" i="59" s="1"/>
  <c r="F113" i="66"/>
  <c r="G113" i="66"/>
  <c r="AJ158" i="67"/>
  <c r="AE158" i="67"/>
  <c r="G116" i="68"/>
  <c r="F116" i="68"/>
  <c r="F114" i="67"/>
  <c r="G114" i="67"/>
  <c r="F122" i="69"/>
  <c r="G122" i="69"/>
  <c r="G94" i="68"/>
  <c r="F94" i="68"/>
  <c r="G137" i="69"/>
  <c r="F137" i="69"/>
  <c r="AH156" i="66"/>
  <c r="AC156" i="66"/>
  <c r="G145" i="69"/>
  <c r="F145" i="69"/>
  <c r="AG157" i="67"/>
  <c r="AB157" i="67"/>
  <c r="F135" i="68"/>
  <c r="G135" i="68"/>
  <c r="F97" i="67"/>
  <c r="G97" i="67"/>
  <c r="AB156" i="67"/>
  <c r="AG156" i="67"/>
  <c r="C222" i="75"/>
  <c r="G136" i="66"/>
  <c r="F136" i="66"/>
  <c r="F124" i="69"/>
  <c r="G124" i="69"/>
  <c r="F133" i="68"/>
  <c r="G133" i="68"/>
  <c r="AK155" i="67"/>
  <c r="AF155" i="67"/>
  <c r="G91" i="69"/>
  <c r="F91" i="69"/>
  <c r="G134" i="67"/>
  <c r="F134" i="67"/>
  <c r="G100" i="69"/>
  <c r="F100" i="69"/>
  <c r="G120" i="66"/>
  <c r="F120" i="66"/>
  <c r="G138" i="69"/>
  <c r="F138" i="69"/>
  <c r="AD155" i="66"/>
  <c r="AI155" i="66"/>
  <c r="G168" i="68"/>
  <c r="F168" i="68"/>
  <c r="F118" i="66"/>
  <c r="G118" i="66"/>
  <c r="F102" i="69"/>
  <c r="G102" i="69"/>
  <c r="G123" i="66"/>
  <c r="F123" i="66"/>
  <c r="F91" i="68"/>
  <c r="G91" i="68"/>
  <c r="G108" i="69"/>
  <c r="F108" i="69"/>
  <c r="G117" i="67"/>
  <c r="F117" i="67"/>
  <c r="F106" i="66"/>
  <c r="G106" i="66"/>
  <c r="F108" i="68"/>
  <c r="G108" i="68"/>
  <c r="F143" i="68"/>
  <c r="G143" i="68"/>
  <c r="F137" i="66"/>
  <c r="G137" i="66"/>
  <c r="AK160" i="66"/>
  <c r="AF160" i="66"/>
  <c r="G130" i="67"/>
  <c r="F130" i="67"/>
  <c r="AE156" i="66"/>
  <c r="AJ156" i="66"/>
  <c r="AB155" i="67"/>
  <c r="AG155" i="67"/>
  <c r="F149" i="68"/>
  <c r="G149" i="68"/>
  <c r="F116" i="67"/>
  <c r="G116" i="67"/>
  <c r="F128" i="68"/>
  <c r="G128" i="68"/>
  <c r="F52" i="72"/>
  <c r="G52" i="72"/>
  <c r="AB160" i="67"/>
  <c r="AG160" i="67"/>
  <c r="AE160" i="67"/>
  <c r="AJ160" i="67"/>
  <c r="G115" i="66"/>
  <c r="F115" i="66"/>
  <c r="G99" i="68"/>
  <c r="F99" i="68"/>
  <c r="F152" i="69"/>
  <c r="G152" i="69"/>
  <c r="F96" i="66"/>
  <c r="G96" i="66"/>
  <c r="G105" i="67"/>
  <c r="F105" i="67"/>
  <c r="F54" i="70"/>
  <c r="G54" i="70"/>
  <c r="D222" i="74"/>
  <c r="G91" i="67"/>
  <c r="F91" i="67"/>
  <c r="F144" i="69"/>
  <c r="G144" i="69"/>
  <c r="G118" i="68"/>
  <c r="F118" i="68"/>
  <c r="F57" i="72"/>
  <c r="G57" i="72"/>
  <c r="AI155" i="67"/>
  <c r="AD155" i="67"/>
  <c r="G55" i="73"/>
  <c r="F55" i="73"/>
  <c r="F129" i="66"/>
  <c r="G129" i="66"/>
  <c r="G136" i="67"/>
  <c r="F136" i="67"/>
  <c r="F150" i="67"/>
  <c r="G150" i="67"/>
  <c r="G115" i="68"/>
  <c r="F115" i="68"/>
  <c r="G111" i="68"/>
  <c r="F111" i="68"/>
  <c r="AE156" i="67"/>
  <c r="AJ156" i="67"/>
  <c r="G119" i="68"/>
  <c r="F119" i="68"/>
  <c r="F55" i="72"/>
  <c r="G55" i="72"/>
  <c r="AE154" i="66"/>
  <c r="AJ154" i="66"/>
  <c r="F134" i="69"/>
  <c r="G134" i="69"/>
  <c r="F121" i="67"/>
  <c r="G121" i="67"/>
  <c r="F113" i="69"/>
  <c r="G113" i="69"/>
  <c r="AF159" i="67"/>
  <c r="AK159" i="67"/>
  <c r="AJ154" i="67"/>
  <c r="AE154" i="67"/>
  <c r="G147" i="69"/>
  <c r="F147" i="69"/>
  <c r="F177" i="69"/>
  <c r="G177" i="69"/>
  <c r="F112" i="68"/>
  <c r="G112" i="68"/>
  <c r="F131" i="66"/>
  <c r="G131" i="66"/>
  <c r="F99" i="67"/>
  <c r="G99" i="67"/>
  <c r="F122" i="67"/>
  <c r="G122" i="67"/>
  <c r="G172" i="68"/>
  <c r="F172" i="68"/>
  <c r="G162" i="68"/>
  <c r="F162" i="68"/>
  <c r="F93" i="68"/>
  <c r="G93" i="68"/>
  <c r="G135" i="67"/>
  <c r="F135" i="67"/>
  <c r="AG161" i="67"/>
  <c r="AB161" i="67"/>
  <c r="G161" i="68"/>
  <c r="F161" i="68"/>
  <c r="AF158" i="66"/>
  <c r="AK158" i="66"/>
  <c r="G166" i="68"/>
  <c r="F166" i="68"/>
  <c r="F159" i="69"/>
  <c r="G159" i="69"/>
  <c r="G163" i="69"/>
  <c r="F163" i="69"/>
  <c r="G109" i="67"/>
  <c r="F109" i="67"/>
  <c r="G142" i="66"/>
  <c r="F142" i="66"/>
  <c r="F107" i="68"/>
  <c r="G107" i="68"/>
  <c r="G134" i="66"/>
  <c r="F134" i="66"/>
  <c r="G143" i="66"/>
  <c r="F143" i="66"/>
  <c r="F128" i="67"/>
  <c r="G128" i="67"/>
  <c r="AF161" i="66"/>
  <c r="AK161" i="66"/>
  <c r="D221" i="75"/>
  <c r="E221" i="75" s="1"/>
  <c r="F124" i="67"/>
  <c r="G124" i="67"/>
  <c r="AJ160" i="66"/>
  <c r="AE160" i="66"/>
  <c r="G154" i="68"/>
  <c r="F154" i="68"/>
  <c r="G59" i="72"/>
  <c r="F59" i="72"/>
  <c r="AK160" i="67"/>
  <c r="AF160" i="67"/>
  <c r="F59" i="73"/>
  <c r="G59" i="73"/>
  <c r="G127" i="67"/>
  <c r="F127" i="67"/>
  <c r="F58" i="71"/>
  <c r="G58" i="71"/>
  <c r="G115" i="69"/>
  <c r="F115" i="69"/>
  <c r="G92" i="68"/>
  <c r="F92" i="68"/>
  <c r="F121" i="69"/>
  <c r="G121" i="69"/>
  <c r="G101" i="67"/>
  <c r="F101" i="67"/>
  <c r="G145" i="66"/>
  <c r="F145" i="66"/>
  <c r="AE157" i="66"/>
  <c r="AJ157" i="66"/>
  <c r="G141" i="69"/>
  <c r="F141" i="69"/>
  <c r="G184" i="68"/>
  <c r="F184" i="68"/>
  <c r="F129" i="67"/>
  <c r="G129" i="67"/>
  <c r="F146" i="67"/>
  <c r="G146" i="67"/>
  <c r="AB154" i="66"/>
  <c r="AG154" i="66"/>
  <c r="F94" i="69"/>
  <c r="G94" i="69"/>
  <c r="F149" i="69"/>
  <c r="G149" i="69"/>
  <c r="AH159" i="67"/>
  <c r="AC159" i="67"/>
  <c r="G143" i="67"/>
  <c r="F143" i="67"/>
  <c r="F140" i="66"/>
  <c r="G140" i="66"/>
  <c r="AG154" i="67"/>
  <c r="AB154" i="67"/>
  <c r="AC160" i="66"/>
  <c r="AH160" i="66"/>
  <c r="F107" i="69"/>
  <c r="G107" i="69"/>
  <c r="G147" i="68"/>
  <c r="F147" i="68"/>
  <c r="F92" i="67"/>
  <c r="G92" i="67"/>
  <c r="G166" i="69"/>
  <c r="F166" i="69"/>
  <c r="G164" i="68"/>
  <c r="F164" i="68"/>
  <c r="G60" i="71"/>
  <c r="F60" i="71"/>
  <c r="AK154" i="66"/>
  <c r="AF154" i="66"/>
  <c r="F171" i="69"/>
  <c r="G171" i="69"/>
  <c r="G97" i="69"/>
  <c r="F97" i="69"/>
  <c r="G140" i="68"/>
  <c r="F140" i="68"/>
  <c r="F115" i="67"/>
  <c r="G115" i="67"/>
  <c r="F129" i="68"/>
  <c r="G129" i="68"/>
  <c r="G117" i="69"/>
  <c r="F117" i="69"/>
  <c r="F52" i="73"/>
  <c r="G52" i="73"/>
  <c r="I62" i="59"/>
  <c r="G62" i="59" s="1"/>
  <c r="F62" i="59"/>
  <c r="AJ161" i="66"/>
  <c r="AE161" i="66"/>
  <c r="G173" i="68"/>
  <c r="F173" i="68"/>
  <c r="F165" i="69"/>
  <c r="G165" i="69"/>
  <c r="F103" i="69"/>
  <c r="G103" i="69"/>
  <c r="G112" i="66"/>
  <c r="F112" i="66"/>
  <c r="G57" i="70"/>
  <c r="F57" i="70"/>
  <c r="AK155" i="66"/>
  <c r="AF155" i="66"/>
  <c r="AC157" i="66"/>
  <c r="AH157" i="66"/>
  <c r="F108" i="66"/>
  <c r="G108" i="66"/>
  <c r="AK158" i="67"/>
  <c r="AF158" i="67"/>
  <c r="G104" i="68"/>
  <c r="F104" i="68"/>
  <c r="AD158" i="66"/>
  <c r="AI158" i="66"/>
  <c r="G161" i="69"/>
  <c r="F161" i="69"/>
  <c r="F182" i="69"/>
  <c r="G182" i="69"/>
  <c r="AC157" i="67"/>
  <c r="AH157" i="67"/>
  <c r="G146" i="68"/>
  <c r="F146" i="68"/>
  <c r="AB158" i="67"/>
  <c r="AG158" i="67"/>
  <c r="G169" i="68"/>
  <c r="F169" i="68"/>
  <c r="F56" i="72"/>
  <c r="G56" i="72"/>
  <c r="G177" i="68"/>
  <c r="F177" i="68"/>
  <c r="G59" i="71"/>
  <c r="F59" i="71"/>
  <c r="G112" i="67"/>
  <c r="F112" i="67"/>
  <c r="F156" i="68"/>
  <c r="G156" i="68"/>
  <c r="F145" i="67"/>
  <c r="G145" i="67"/>
  <c r="G56" i="70"/>
  <c r="F56" i="70"/>
  <c r="AC158" i="67"/>
  <c r="AH158" i="67"/>
  <c r="F104" i="67"/>
  <c r="G104" i="67"/>
  <c r="F155" i="68"/>
  <c r="G155" i="68"/>
  <c r="F174" i="69"/>
  <c r="G174" i="69"/>
  <c r="G129" i="69"/>
  <c r="F129" i="69"/>
  <c r="F98" i="67"/>
  <c r="G98" i="67"/>
  <c r="G130" i="66"/>
  <c r="F130" i="66"/>
  <c r="AD159" i="67"/>
  <c r="AI159" i="67"/>
  <c r="F116" i="66"/>
  <c r="G116" i="66"/>
  <c r="AK161" i="67"/>
  <c r="AF161" i="67"/>
  <c r="G91" i="66"/>
  <c r="F91" i="66"/>
  <c r="F180" i="68"/>
  <c r="G180" i="68"/>
  <c r="F105" i="66"/>
  <c r="G105" i="66"/>
  <c r="F54" i="73"/>
  <c r="G54" i="73"/>
  <c r="F176" i="68"/>
  <c r="G176" i="68"/>
  <c r="F141" i="67"/>
  <c r="G141" i="67"/>
  <c r="AD156" i="66"/>
  <c r="AI156" i="66"/>
  <c r="F139" i="67"/>
  <c r="G139" i="67"/>
  <c r="G56" i="71"/>
  <c r="F56" i="71"/>
  <c r="G58" i="72"/>
  <c r="F58" i="72"/>
  <c r="F149" i="66"/>
  <c r="G149" i="66"/>
  <c r="F170" i="68"/>
  <c r="G170" i="68"/>
  <c r="G151" i="69"/>
  <c r="F151" i="69"/>
  <c r="G125" i="68"/>
  <c r="F125" i="68"/>
  <c r="G175" i="69"/>
  <c r="F175" i="69"/>
  <c r="G124" i="66"/>
  <c r="F124" i="66"/>
  <c r="F132" i="66"/>
  <c r="G132" i="66"/>
  <c r="G98" i="66"/>
  <c r="F98" i="66"/>
  <c r="AC154" i="66"/>
  <c r="AH154" i="66"/>
  <c r="G119" i="66"/>
  <c r="F119" i="66"/>
  <c r="AJ155" i="67"/>
  <c r="AE155" i="67"/>
  <c r="G111" i="66"/>
  <c r="F111" i="66"/>
  <c r="AI154" i="66"/>
  <c r="AD154" i="66"/>
  <c r="AJ161" i="67"/>
  <c r="AE161" i="67"/>
  <c r="G101" i="69"/>
  <c r="F101" i="69"/>
  <c r="G153" i="69"/>
  <c r="F153" i="69"/>
  <c r="G103" i="67"/>
  <c r="F103" i="67"/>
  <c r="G120" i="68"/>
  <c r="F120" i="68"/>
  <c r="G175" i="68"/>
  <c r="F175" i="68"/>
  <c r="G144" i="66"/>
  <c r="F144" i="66"/>
  <c r="F121" i="68"/>
  <c r="G121" i="68"/>
  <c r="F60" i="72"/>
  <c r="G60" i="72"/>
  <c r="F178" i="69"/>
  <c r="G178" i="69"/>
  <c r="G128" i="69"/>
  <c r="F128" i="69"/>
  <c r="F114" i="66"/>
  <c r="G114" i="66"/>
  <c r="G126" i="68"/>
  <c r="F126" i="68"/>
  <c r="F160" i="68"/>
  <c r="G160" i="68"/>
  <c r="F185" i="69"/>
  <c r="G185" i="69"/>
  <c r="F57" i="71"/>
  <c r="G57" i="71"/>
  <c r="G99" i="69"/>
  <c r="F99" i="69"/>
  <c r="G93" i="69"/>
  <c r="F93" i="69"/>
  <c r="G98" i="68"/>
  <c r="F98" i="68"/>
  <c r="C221" i="75"/>
  <c r="G152" i="68"/>
  <c r="F152" i="68"/>
  <c r="G113" i="67"/>
  <c r="F113" i="67"/>
  <c r="F122" i="66"/>
  <c r="G122" i="66"/>
  <c r="F171" i="68"/>
  <c r="G171" i="68"/>
  <c r="G103" i="68"/>
  <c r="F103" i="68"/>
  <c r="AG155" i="66"/>
  <c r="AB155" i="66"/>
  <c r="F94" i="67"/>
  <c r="G94" i="67"/>
  <c r="F157" i="69"/>
  <c r="G157" i="69"/>
  <c r="AF157" i="66"/>
  <c r="AK157" i="66"/>
  <c r="F150" i="68"/>
  <c r="G150" i="68"/>
  <c r="F136" i="68"/>
  <c r="G136" i="68"/>
  <c r="G181" i="69"/>
  <c r="F181" i="69"/>
  <c r="G125" i="66"/>
  <c r="F125" i="66"/>
  <c r="G178" i="68"/>
  <c r="F178" i="68"/>
  <c r="D222" i="75"/>
  <c r="E222" i="75" s="1"/>
  <c r="G109" i="66"/>
  <c r="F109" i="66"/>
  <c r="G148" i="67"/>
  <c r="F148" i="67"/>
  <c r="G104" i="69"/>
  <c r="F104" i="69"/>
  <c r="G60" i="73"/>
  <c r="F60" i="73"/>
  <c r="G179" i="68"/>
  <c r="F179" i="68"/>
  <c r="G158" i="68"/>
  <c r="F158" i="68"/>
  <c r="G126" i="69"/>
  <c r="F126" i="69"/>
  <c r="G100" i="68"/>
  <c r="F100" i="68"/>
  <c r="F106" i="67"/>
  <c r="G106" i="67"/>
  <c r="G159" i="68"/>
  <c r="F159" i="68"/>
  <c r="G106" i="69"/>
  <c r="F106" i="69"/>
  <c r="AB157" i="66"/>
  <c r="AG157" i="66"/>
  <c r="AI159" i="66"/>
  <c r="AD159" i="66"/>
  <c r="G122" i="68"/>
  <c r="F122" i="68"/>
  <c r="F146" i="66"/>
  <c r="G146" i="66"/>
  <c r="G111" i="69"/>
  <c r="F111" i="69"/>
  <c r="G53" i="70"/>
  <c r="F53" i="70"/>
  <c r="F114" i="69"/>
  <c r="G114" i="69"/>
  <c r="G96" i="68"/>
  <c r="F96" i="68"/>
  <c r="G58" i="70"/>
  <c r="F58" i="70"/>
  <c r="D221" i="74"/>
  <c r="G53" i="73"/>
  <c r="F53" i="73"/>
  <c r="G127" i="69"/>
  <c r="F127" i="69"/>
  <c r="F139" i="69"/>
  <c r="G139" i="69"/>
  <c r="G94" i="66"/>
  <c r="F94" i="66"/>
  <c r="G102" i="67"/>
  <c r="F102" i="67"/>
  <c r="G135" i="69"/>
  <c r="F135" i="69"/>
  <c r="G133" i="67"/>
  <c r="F133" i="67"/>
  <c r="AG156" i="66"/>
  <c r="AB156" i="66"/>
  <c r="F182" i="68"/>
  <c r="G182" i="68"/>
  <c r="AI156" i="67"/>
  <c r="AD156" i="67"/>
  <c r="F95" i="68"/>
  <c r="G95" i="68"/>
  <c r="G116" i="69"/>
  <c r="F116" i="69"/>
  <c r="G179" i="69"/>
  <c r="F179" i="69"/>
  <c r="G101" i="68"/>
  <c r="F101" i="68"/>
  <c r="F172" i="69"/>
  <c r="G172" i="69"/>
  <c r="G93" i="66"/>
  <c r="F93" i="66"/>
  <c r="F60" i="70"/>
  <c r="G60" i="70"/>
  <c r="AD161" i="66"/>
  <c r="AI161" i="66"/>
  <c r="F183" i="69"/>
  <c r="G183" i="69"/>
  <c r="G173" i="69"/>
  <c r="F173" i="69"/>
  <c r="F127" i="66"/>
  <c r="G127" i="66"/>
  <c r="AK154" i="67"/>
  <c r="AF154" i="67"/>
  <c r="F92" i="69"/>
  <c r="G92" i="69"/>
  <c r="F165" i="68"/>
  <c r="G165" i="68"/>
  <c r="F148" i="68"/>
  <c r="G148" i="68"/>
  <c r="F99" i="66"/>
  <c r="G99" i="66"/>
  <c r="AD157" i="67"/>
  <c r="AI157" i="67"/>
  <c r="F111" i="67"/>
  <c r="G111" i="67"/>
  <c r="F185" i="68"/>
  <c r="G185" i="68"/>
  <c r="F155" i="69"/>
  <c r="G155" i="69"/>
  <c r="AE159" i="66"/>
  <c r="AJ159" i="66"/>
  <c r="AB160" i="66"/>
  <c r="AG160" i="66"/>
  <c r="AH158" i="66"/>
  <c r="AC158" i="66"/>
  <c r="G105" i="68"/>
  <c r="F105" i="68"/>
  <c r="AC161" i="67"/>
  <c r="AH161" i="67"/>
  <c r="G126" i="67"/>
  <c r="F126" i="67"/>
  <c r="G137" i="67"/>
  <c r="F137" i="67"/>
  <c r="G134" i="68"/>
  <c r="F134" i="68"/>
  <c r="G121" i="66"/>
  <c r="F121" i="66"/>
  <c r="G144" i="67"/>
  <c r="F144" i="67"/>
  <c r="F151" i="68"/>
  <c r="G151" i="68"/>
  <c r="F109" i="69"/>
  <c r="G109" i="69"/>
  <c r="F130" i="69"/>
  <c r="G130" i="69"/>
  <c r="G110" i="66"/>
  <c r="F110" i="66"/>
  <c r="F123" i="68"/>
  <c r="G123" i="68"/>
  <c r="F98" i="69"/>
  <c r="G98" i="69"/>
  <c r="G137" i="68"/>
  <c r="F137" i="68"/>
  <c r="F110" i="67"/>
  <c r="G110" i="67"/>
  <c r="F142" i="68"/>
  <c r="G142" i="68"/>
  <c r="G119" i="67"/>
  <c r="F119" i="67"/>
  <c r="F125" i="67"/>
  <c r="G125" i="67"/>
  <c r="F55" i="70"/>
  <c r="G55" i="70"/>
  <c r="G139" i="66"/>
  <c r="F139" i="66"/>
  <c r="F141" i="66"/>
  <c r="G141" i="66"/>
  <c r="F132" i="67"/>
  <c r="G132" i="67"/>
  <c r="G105" i="69"/>
  <c r="F105" i="69"/>
  <c r="G118" i="69"/>
  <c r="F118" i="69"/>
  <c r="F118" i="67"/>
  <c r="G118" i="67"/>
  <c r="G101" i="66"/>
  <c r="F101" i="66"/>
  <c r="F113" i="68"/>
  <c r="G113" i="68"/>
  <c r="G95" i="66"/>
  <c r="F95" i="66"/>
  <c r="F120" i="67"/>
  <c r="G120" i="67"/>
  <c r="G59" i="70"/>
  <c r="F59" i="70"/>
  <c r="F149" i="67"/>
  <c r="G149" i="67"/>
  <c r="G107" i="66"/>
  <c r="F107" i="66"/>
  <c r="G117" i="66"/>
  <c r="F117" i="66"/>
  <c r="F110" i="68"/>
  <c r="G110" i="68"/>
  <c r="F123" i="67"/>
  <c r="G123" i="67"/>
  <c r="AC154" i="67"/>
  <c r="AH154" i="67"/>
  <c r="AC159" i="66"/>
  <c r="AH159" i="66"/>
  <c r="G131" i="67"/>
  <c r="F131" i="67"/>
  <c r="AK157" i="67"/>
  <c r="AF157" i="67"/>
  <c r="F148" i="69"/>
  <c r="G148" i="69"/>
  <c r="F168" i="69"/>
  <c r="G168" i="69"/>
  <c r="F147" i="67"/>
  <c r="G147" i="67"/>
  <c r="F147" i="66"/>
  <c r="G147" i="66"/>
  <c r="G123" i="69"/>
  <c r="F123" i="69"/>
  <c r="F169" i="69"/>
  <c r="G169" i="69"/>
  <c r="F140" i="67"/>
  <c r="G140" i="67"/>
  <c r="F93" i="67"/>
  <c r="G93" i="67"/>
  <c r="F145" i="68"/>
  <c r="G145" i="68"/>
  <c r="G54" i="72"/>
  <c r="F54" i="72"/>
  <c r="F128" i="66"/>
  <c r="G128" i="66"/>
  <c r="C222" i="74"/>
  <c r="E222" i="74" s="1"/>
  <c r="AH161" i="66"/>
  <c r="AC161" i="66"/>
  <c r="G53" i="72"/>
  <c r="F53" i="72"/>
  <c r="F127" i="68"/>
  <c r="G127" i="68"/>
  <c r="G164" i="69"/>
  <c r="F164" i="69"/>
  <c r="G131" i="68"/>
  <c r="F131" i="68"/>
  <c r="AJ158" i="66"/>
  <c r="AE158" i="66"/>
  <c r="G56" i="73"/>
  <c r="F56" i="73"/>
  <c r="F57" i="73"/>
  <c r="G57" i="73"/>
  <c r="F100" i="67"/>
  <c r="G100" i="67"/>
  <c r="G109" i="68"/>
  <c r="F109" i="68"/>
  <c r="AB158" i="66"/>
  <c r="AG158" i="66"/>
  <c r="F183" i="68"/>
  <c r="G183" i="68"/>
  <c r="F133" i="66"/>
  <c r="G133" i="66"/>
  <c r="G119" i="69"/>
  <c r="F119" i="69"/>
  <c r="F148" i="66"/>
  <c r="G148" i="66"/>
  <c r="AD158" i="67"/>
  <c r="AI158" i="67"/>
  <c r="F157" i="68"/>
  <c r="G157" i="68"/>
  <c r="F95" i="67"/>
  <c r="G95" i="67"/>
  <c r="AF156" i="66"/>
  <c r="AK156" i="66"/>
  <c r="F60" i="63"/>
  <c r="G60" i="63"/>
  <c r="F100" i="66"/>
  <c r="G100" i="66"/>
  <c r="G53" i="71"/>
  <c r="F53" i="71"/>
  <c r="G52" i="71"/>
  <c r="F52" i="71"/>
  <c r="AI161" i="67"/>
  <c r="AD161" i="67"/>
  <c r="F167" i="68"/>
  <c r="G167" i="68"/>
  <c r="G143" i="69"/>
  <c r="F143" i="69"/>
  <c r="G131" i="69"/>
  <c r="F131" i="69"/>
  <c r="F184" i="69"/>
  <c r="G184" i="69"/>
  <c r="F181" i="68"/>
  <c r="G181" i="68"/>
  <c r="AJ155" i="66"/>
  <c r="AE155" i="66"/>
  <c r="F97" i="66"/>
  <c r="G97" i="66"/>
  <c r="G92" i="66"/>
  <c r="F92" i="66"/>
  <c r="F141" i="68"/>
  <c r="G141" i="68"/>
  <c r="G153" i="68"/>
  <c r="F153" i="68"/>
  <c r="AE157" i="67"/>
  <c r="AJ157" i="67"/>
  <c r="F156" i="69"/>
  <c r="G156" i="69"/>
  <c r="AG159" i="67"/>
  <c r="AB159" i="67"/>
  <c r="F103" i="66"/>
  <c r="G103" i="66"/>
  <c r="G138" i="66"/>
  <c r="F138" i="66"/>
  <c r="G160" i="69"/>
  <c r="F160" i="69"/>
  <c r="F180" i="69"/>
  <c r="G180" i="69"/>
  <c r="F120" i="69"/>
  <c r="G120" i="69"/>
  <c r="AH160" i="67"/>
  <c r="AC160" i="67"/>
  <c r="AH156" i="67"/>
  <c r="AC156" i="67"/>
  <c r="F97" i="68"/>
  <c r="G97" i="68"/>
  <c r="G104" i="66"/>
  <c r="F104" i="66"/>
  <c r="G114" i="68"/>
  <c r="F114" i="68"/>
  <c r="F142" i="69"/>
  <c r="G142" i="69"/>
  <c r="G124" i="68"/>
  <c r="F124" i="68"/>
  <c r="G139" i="68"/>
  <c r="F139" i="68"/>
  <c r="G112" i="69"/>
  <c r="F112" i="69"/>
  <c r="F138" i="67"/>
  <c r="G138" i="67"/>
  <c r="F174" i="68"/>
  <c r="G174" i="68"/>
  <c r="G108" i="67"/>
  <c r="F108" i="67"/>
  <c r="G167" i="69"/>
  <c r="F167" i="69"/>
  <c r="G162" i="69"/>
  <c r="F162" i="69"/>
  <c r="G58" i="73"/>
  <c r="F58" i="73"/>
  <c r="G125" i="69"/>
  <c r="F125" i="69"/>
  <c r="G102" i="66"/>
  <c r="F102" i="66"/>
  <c r="G133" i="69"/>
  <c r="F133" i="69"/>
  <c r="F107" i="67"/>
  <c r="G107" i="67"/>
  <c r="AI160" i="67"/>
  <c r="AD160" i="67"/>
  <c r="G126" i="66"/>
  <c r="F126" i="66"/>
  <c r="G150" i="69"/>
  <c r="F150" i="69"/>
  <c r="F146" i="69"/>
  <c r="G146" i="69"/>
  <c r="F132" i="69"/>
  <c r="G132" i="69"/>
  <c r="AF159" i="66"/>
  <c r="AK159" i="66"/>
  <c r="AC155" i="67"/>
  <c r="AH155" i="67"/>
  <c r="G144" i="68"/>
  <c r="F144" i="68"/>
  <c r="AD160" i="66"/>
  <c r="AI160" i="66"/>
  <c r="C221" i="74"/>
  <c r="E221" i="74" s="1"/>
  <c r="G136" i="69"/>
  <c r="F136" i="69"/>
  <c r="G52" i="70"/>
  <c r="F52" i="70"/>
  <c r="G154" i="69"/>
  <c r="F154" i="69"/>
  <c r="G102" i="68"/>
  <c r="F102" i="68"/>
  <c r="F150" i="66"/>
  <c r="G150" i="66"/>
  <c r="G135" i="66"/>
  <c r="F135" i="66"/>
  <c r="F96" i="69"/>
  <c r="G96" i="69"/>
  <c r="F170" i="69"/>
  <c r="G170" i="69"/>
  <c r="F55" i="71"/>
  <c r="G55" i="71"/>
  <c r="AG159" i="66"/>
  <c r="AB159" i="66"/>
  <c r="G110" i="69"/>
  <c r="F110" i="69"/>
  <c r="F142" i="67"/>
  <c r="G142" i="67"/>
  <c r="D63" i="59"/>
  <c r="B64" i="59" s="1"/>
  <c r="O13" i="66"/>
  <c r="N157" i="66" a="1"/>
  <c r="D111" i="68" a="1"/>
  <c r="D117" i="66" a="1"/>
  <c r="T154" i="67" a="1"/>
  <c r="C142" i="66" a="1"/>
  <c r="C94" i="68" a="1"/>
  <c r="C111" i="68" a="1"/>
  <c r="C113" i="67" a="1"/>
  <c r="C140" i="68" a="1"/>
  <c r="C183" i="69" a="1"/>
  <c r="M161" i="67" a="1"/>
  <c r="D176" i="68" a="1"/>
  <c r="D144" i="69" a="1"/>
  <c r="S155" i="66" a="1"/>
  <c r="P154" i="66" a="1"/>
  <c r="M157" i="66" a="1"/>
  <c r="C179" i="69" a="1"/>
  <c r="D122" i="69" a="1"/>
  <c r="C56" i="72" a="1"/>
  <c r="C181" i="69" a="1"/>
  <c r="D173" i="68" a="1"/>
  <c r="C144" i="69" a="1"/>
  <c r="D106" i="66" a="1"/>
  <c r="C128" i="66" a="1"/>
  <c r="C124" i="66" a="1"/>
  <c r="R160" i="67" a="1"/>
  <c r="C104" i="68" a="1"/>
  <c r="P155" i="66" a="1"/>
  <c r="D92" i="66" a="1"/>
  <c r="D183" i="69" a="1"/>
  <c r="C127" i="69" a="1"/>
  <c r="M156" i="67" a="1"/>
  <c r="C136" i="66" a="1"/>
  <c r="O157" i="67" a="1"/>
  <c r="D102" i="68" a="1"/>
  <c r="D134" i="67" a="1"/>
  <c r="C161" i="68" a="1"/>
  <c r="C96" i="67" a="1"/>
  <c r="D113" i="67" a="1"/>
  <c r="C92" i="66" a="1"/>
  <c r="C119" i="69" a="1"/>
  <c r="C55" i="71" a="1"/>
  <c r="C112" i="68" a="1"/>
  <c r="C117" i="67" a="1"/>
  <c r="D99" i="66" a="1"/>
  <c r="C104" i="67" a="1"/>
  <c r="D129" i="67" a="1"/>
  <c r="C60" i="63" a="1"/>
  <c r="D109" i="69" a="1"/>
  <c r="D149" i="69" a="1"/>
  <c r="D128" i="66" a="1"/>
  <c r="Q154" i="66" a="1"/>
  <c r="D115" i="68" a="1"/>
  <c r="D180" i="69" a="1"/>
  <c r="D114" i="69" a="1"/>
  <c r="C97" i="69" a="1"/>
  <c r="R157" i="67" a="1"/>
  <c r="R161" i="67" a="1"/>
  <c r="T157" i="66" a="1"/>
  <c r="S157" i="66" a="1"/>
  <c r="D119" i="67" a="1"/>
  <c r="D112" i="68" a="1"/>
  <c r="C102" i="68" a="1"/>
  <c r="C58" i="71" a="1"/>
  <c r="D107" i="69" a="1"/>
  <c r="D106" i="69" a="1"/>
  <c r="V155" i="66" a="1"/>
  <c r="U159" i="66" a="1"/>
  <c r="C93" i="69" a="1"/>
  <c r="D137" i="66" a="1"/>
  <c r="C106" i="66" a="1"/>
  <c r="D146" i="68" a="1"/>
  <c r="C113" i="66" a="1"/>
  <c r="D151" i="68" a="1"/>
  <c r="C166" i="68" a="1"/>
  <c r="D130" i="66" a="1"/>
  <c r="C114" i="69" a="1"/>
  <c r="D105" i="66" a="1"/>
  <c r="C134" i="69" a="1"/>
  <c r="R155" i="66" a="1"/>
  <c r="C152" i="69" a="1"/>
  <c r="C126" i="68" a="1"/>
  <c r="C176" i="68" a="1"/>
  <c r="R157" i="66" a="1"/>
  <c r="N155" i="66" a="1"/>
  <c r="O158" i="67" a="1"/>
  <c r="D57" i="72" a="1"/>
  <c r="D164" i="68" a="1"/>
  <c r="D139" i="69" a="1"/>
  <c r="S158" i="66" a="1"/>
  <c r="C148" i="68" a="1"/>
  <c r="D55" i="72" a="1"/>
  <c r="D150" i="66" a="1"/>
  <c r="U156" i="67" a="1"/>
  <c r="C118" i="68" a="1"/>
  <c r="C98" i="69" a="1"/>
  <c r="D104" i="68" a="1"/>
  <c r="C164" i="68" a="1"/>
  <c r="C164" i="69" a="1"/>
  <c r="N158" i="66" a="1"/>
  <c r="D55" i="71" a="1"/>
  <c r="D182" i="69" a="1"/>
  <c r="D102" i="69" a="1"/>
  <c r="D140" i="68" a="1"/>
  <c r="D105" i="67" a="1"/>
  <c r="D56" i="72" a="1"/>
  <c r="C122" i="68" a="1"/>
  <c r="C123" i="66" a="1"/>
  <c r="D94" i="68" a="1"/>
  <c r="D156" i="68" a="1"/>
  <c r="D57" i="73" a="1"/>
  <c r="P156" i="67" a="1"/>
  <c r="C97" i="67" a="1"/>
  <c r="D101" i="69" a="1"/>
  <c r="C142" i="67" a="1"/>
  <c r="D106" i="67" a="1"/>
  <c r="D54" i="71" a="1"/>
  <c r="S156" i="67" a="1"/>
  <c r="O159" i="66" a="1"/>
  <c r="D139" i="66" a="1"/>
  <c r="D148" i="67" a="1"/>
  <c r="D131" i="69" a="1"/>
  <c r="D128" i="68" a="1"/>
  <c r="D135" i="69" a="1"/>
  <c r="D127" i="69" a="1"/>
  <c r="V159" i="67" a="1"/>
  <c r="N159" i="66" a="1"/>
  <c r="D154" i="68" a="1"/>
  <c r="D130" i="69" a="1"/>
  <c r="S157" i="67" a="1"/>
  <c r="D125" i="67" a="1"/>
  <c r="D123" i="66" a="1"/>
  <c r="D141" i="66" a="1"/>
  <c r="D117" i="67" a="1"/>
  <c r="C182" i="69" a="1"/>
  <c r="C96" i="68" a="1"/>
  <c r="P159" i="67" a="1"/>
  <c r="D118" i="67" a="1"/>
  <c r="U159" i="67" a="1"/>
  <c r="C177" i="69" a="1"/>
  <c r="P155" i="67" a="1"/>
  <c r="C134" i="66" a="1"/>
  <c r="M155" i="67" a="1"/>
  <c r="C149" i="68" a="1"/>
  <c r="C142" i="68" a="1"/>
  <c r="D53" i="73" a="1"/>
  <c r="T155" i="66" a="1"/>
  <c r="C54" i="72" a="1"/>
  <c r="C178" i="68" a="1"/>
  <c r="Q156" i="66" a="1"/>
  <c r="D122" i="67" a="1"/>
  <c r="D124" i="67" a="1"/>
  <c r="C145" i="66" a="1"/>
  <c r="D121" i="66" a="1"/>
  <c r="D95" i="67" a="1"/>
  <c r="D110" i="68" a="1"/>
  <c r="C104" i="69" a="1"/>
  <c r="T154" i="66" a="1"/>
  <c r="U156" i="66" a="1"/>
  <c r="O154" i="67" a="1"/>
  <c r="P156" i="66" a="1"/>
  <c r="D138" i="69" a="1"/>
  <c r="C117" i="68" a="1"/>
  <c r="M154" i="66" a="1"/>
  <c r="C110" i="68" a="1"/>
  <c r="C105" i="67" a="1"/>
  <c r="D140" i="66" a="1"/>
  <c r="C95" i="66" a="1"/>
  <c r="D109" i="68" a="1"/>
  <c r="C118" i="66" a="1"/>
  <c r="Q154" i="67" a="1"/>
  <c r="D136" i="66" a="1"/>
  <c r="C154" i="68" a="1"/>
  <c r="C101" i="69" a="1"/>
  <c r="D166" i="68" a="1"/>
  <c r="C107" i="69" a="1"/>
  <c r="C134" i="67" a="1"/>
  <c r="C125" i="67" a="1"/>
  <c r="C101" i="68" a="1"/>
  <c r="C57" i="72" a="1"/>
  <c r="V154" i="66" a="1"/>
  <c r="S155" i="67" a="1"/>
  <c r="Q160" i="67" a="1"/>
  <c r="D91" i="68" a="1"/>
  <c r="D125" i="68" a="1"/>
  <c r="C146" i="66" a="1"/>
  <c r="C127" i="66" a="1"/>
  <c r="D142" i="66" a="1"/>
  <c r="C105" i="68" a="1"/>
  <c r="D54" i="72" a="1"/>
  <c r="D151" i="69" a="1"/>
  <c r="O157" i="66" a="1"/>
  <c r="C128" i="68" a="1"/>
  <c r="C91" i="66" a="1"/>
  <c r="C52" i="73" a="1"/>
  <c r="C141" i="66" a="1"/>
  <c r="R158" i="66" a="1"/>
  <c r="D178" i="68" a="1"/>
  <c r="D177" i="69" a="1"/>
  <c r="C122" i="67" a="1"/>
  <c r="C184" i="68" a="1"/>
  <c r="D100" i="68" a="1"/>
  <c r="D96" i="68" a="1"/>
  <c r="U155" i="67" a="1"/>
  <c r="Q160" i="66" a="1"/>
  <c r="N158" i="67" a="1"/>
  <c r="D143" i="67" a="1"/>
  <c r="C145" i="68" a="1"/>
  <c r="D93" i="69" a="1"/>
  <c r="P159" i="66" a="1"/>
  <c r="D135" i="68" a="1"/>
  <c r="C140" i="66" a="1"/>
  <c r="C141" i="69" a="1"/>
  <c r="C120" i="66" a="1"/>
  <c r="D148" i="68" a="1"/>
  <c r="R154" i="66" a="1"/>
  <c r="Q161" i="67" a="1"/>
  <c r="C52" i="71" a="1"/>
  <c r="D52" i="71" a="1"/>
  <c r="D53" i="72" a="1"/>
  <c r="V160" i="67" a="1"/>
  <c r="C126" i="69" a="1"/>
  <c r="D179" i="69" a="1"/>
  <c r="C58" i="73" a="1"/>
  <c r="C138" i="69" a="1"/>
  <c r="R156" i="67" a="1"/>
  <c r="P157" i="66" a="1"/>
  <c r="D101" i="68" a="1"/>
  <c r="D145" i="66" a="1"/>
  <c r="D119" i="69" a="1"/>
  <c r="C109" i="66" a="1"/>
  <c r="C106" i="69" a="1"/>
  <c r="O155" i="66" a="1"/>
  <c r="C119" i="67" a="1"/>
  <c r="C102" i="69" a="1"/>
  <c r="C140" i="69" a="1"/>
  <c r="C151" i="69" a="1"/>
  <c r="M157" i="67" a="1"/>
  <c r="C115" i="68" a="1"/>
  <c r="C100" i="68" a="1"/>
  <c r="D134" i="69" a="1"/>
  <c r="Q155" i="66" a="1"/>
  <c r="D184" i="68" a="1"/>
  <c r="C139" i="69" a="1"/>
  <c r="C135" i="69" a="1"/>
  <c r="C135" i="68" a="1"/>
  <c r="V158" i="67" a="1"/>
  <c r="C101" i="66" a="1"/>
  <c r="C117" i="66" a="1"/>
  <c r="C149" i="69" a="1"/>
  <c r="D52" i="72" a="1"/>
  <c r="Q157" i="66" a="1"/>
  <c r="D52" i="73" a="1"/>
  <c r="C57" i="71" a="1"/>
  <c r="D97" i="69" a="1"/>
  <c r="P154" i="67" a="1"/>
  <c r="Q158" i="67" a="1"/>
  <c r="V161" i="67" a="1"/>
  <c r="D105" i="68" a="1"/>
  <c r="D134" i="66" a="1"/>
  <c r="M160" i="67" a="1"/>
  <c r="C130" i="69" a="1"/>
  <c r="V156" i="67" a="1"/>
  <c r="C136" i="69" a="1"/>
  <c r="C95" i="67" a="1"/>
  <c r="C124" i="67" a="1"/>
  <c r="D58" i="71" a="1"/>
  <c r="C129" i="67" a="1"/>
  <c r="T158" i="67" a="1"/>
  <c r="D104" i="69" a="1"/>
  <c r="D117" i="68" a="1"/>
  <c r="D164" i="69" a="1"/>
  <c r="N157" i="67" a="1"/>
  <c r="Q159" i="66" a="1"/>
  <c r="C104" i="66" a="1"/>
  <c r="C177" i="68" a="1"/>
  <c r="V160" i="66" a="1"/>
  <c r="V154" i="67" a="1"/>
  <c r="C121" i="66" a="1"/>
  <c r="D57" i="71" a="1"/>
  <c r="D121" i="68" a="1"/>
  <c r="C137" i="68" a="1"/>
  <c r="D98" i="69" a="1"/>
  <c r="C118" i="67" a="1"/>
  <c r="T160" i="67" a="1"/>
  <c r="C59" i="70" a="1"/>
  <c r="C109" i="69" a="1"/>
  <c r="D60" i="70" a="1"/>
  <c r="D120" i="66" a="1"/>
  <c r="D181" i="69" a="1"/>
  <c r="C157" i="69" a="1"/>
  <c r="D118" i="68" a="1"/>
  <c r="D96" i="67" a="1"/>
  <c r="D93" i="68" a="1"/>
  <c r="D108" i="66" a="1"/>
  <c r="D118" i="66" a="1"/>
  <c r="U154" i="66" a="1"/>
  <c r="D149" i="67" a="1"/>
  <c r="D157" i="69" a="1"/>
  <c r="D96" i="66" a="1"/>
  <c r="D59" i="73" a="1"/>
  <c r="D146" i="67" a="1"/>
  <c r="P161" i="66" a="1"/>
  <c r="D59" i="71" a="1"/>
  <c r="D141" i="67" a="1"/>
  <c r="D128" i="69" a="1"/>
  <c r="D109" i="66" a="1"/>
  <c r="C94" i="66" a="1"/>
  <c r="C93" i="66" a="1"/>
  <c r="C105" i="69" a="1"/>
  <c r="D100" i="67" a="1"/>
  <c r="D107" i="67" a="1"/>
  <c r="C52" i="70" a="1"/>
  <c r="C149" i="67" a="1"/>
  <c r="D60" i="63" a="1"/>
  <c r="Q158" i="66" a="1"/>
  <c r="U160" i="66" a="1"/>
  <c r="U157" i="66" a="1"/>
  <c r="S160" i="66" a="1"/>
  <c r="M158" i="67" a="1"/>
  <c r="D98" i="66" a="1"/>
  <c r="D94" i="67" a="1"/>
  <c r="T159" i="66" a="1"/>
  <c r="C55" i="70" a="1"/>
  <c r="D133" i="66" a="1"/>
  <c r="D167" i="68" a="1"/>
  <c r="D146" i="69" a="1"/>
  <c r="D183" i="68" a="1"/>
  <c r="D160" i="69" a="1"/>
  <c r="D150" i="67" a="1"/>
  <c r="C180" i="68" a="1"/>
  <c r="C144" i="66" a="1"/>
  <c r="C106" i="67" a="1"/>
  <c r="C123" i="67" a="1"/>
  <c r="C124" i="68" a="1"/>
  <c r="C54" i="71" a="1"/>
  <c r="R161" i="66" a="1"/>
  <c r="C114" i="67" a="1"/>
  <c r="S156" i="66" a="1"/>
  <c r="D97" i="67" a="1"/>
  <c r="D133" i="68" a="1"/>
  <c r="D100" i="69" a="1"/>
  <c r="C91" i="68" a="1"/>
  <c r="D108" i="68" a="1"/>
  <c r="C130" i="67" a="1"/>
  <c r="D116" i="67" a="1"/>
  <c r="P160" i="67" a="1"/>
  <c r="T155" i="67" a="1"/>
  <c r="C93" i="68" a="1"/>
  <c r="D109" i="67" a="1"/>
  <c r="C143" i="66" a="1"/>
  <c r="D92" i="68" a="1"/>
  <c r="N159" i="67" a="1"/>
  <c r="C108" i="66" a="1"/>
  <c r="T159" i="67" a="1"/>
  <c r="D111" i="66" a="1"/>
  <c r="D185" i="69" a="1"/>
  <c r="D179" i="68" a="1"/>
  <c r="R156" i="66" a="1"/>
  <c r="D110" i="66" a="1"/>
  <c r="C131" i="68" a="1"/>
  <c r="C180" i="69" a="1"/>
  <c r="M159" i="66" a="1"/>
  <c r="C53" i="70" a="1"/>
  <c r="C93" i="67" a="1"/>
  <c r="D97" i="68" a="1"/>
  <c r="D53" i="73" l="1"/>
  <c r="E53" i="73" s="1"/>
  <c r="D121" i="68"/>
  <c r="D105" i="66"/>
  <c r="C95" i="66"/>
  <c r="E95" i="66" s="1"/>
  <c r="N158" i="66"/>
  <c r="C114" i="69"/>
  <c r="C181" i="69"/>
  <c r="C57" i="71"/>
  <c r="N158" i="67"/>
  <c r="C179" i="69"/>
  <c r="C164" i="69"/>
  <c r="C123" i="67"/>
  <c r="C55" i="70"/>
  <c r="E55" i="70" s="1"/>
  <c r="S156" i="67"/>
  <c r="D125" i="67"/>
  <c r="E125" i="67" s="1"/>
  <c r="U159" i="66"/>
  <c r="C183" i="69"/>
  <c r="D104" i="68"/>
  <c r="V155" i="66"/>
  <c r="C140" i="68"/>
  <c r="E140" i="68" s="1"/>
  <c r="B5" i="68" s="1"/>
  <c r="D184" i="68"/>
  <c r="D130" i="69"/>
  <c r="E130" i="69" s="1"/>
  <c r="D106" i="69"/>
  <c r="E106" i="69" s="1"/>
  <c r="C142" i="66"/>
  <c r="E142" i="66" s="1"/>
  <c r="C115" i="68"/>
  <c r="E115" i="68" s="1"/>
  <c r="C128" i="68"/>
  <c r="E128" i="68" s="1"/>
  <c r="D96" i="67"/>
  <c r="E96" i="67" s="1"/>
  <c r="D107" i="67"/>
  <c r="E107" i="67" s="1"/>
  <c r="D133" i="66"/>
  <c r="D106" i="67"/>
  <c r="E106" i="67" s="1"/>
  <c r="C30" i="67" s="1"/>
  <c r="M158" i="67"/>
  <c r="S160" i="66"/>
  <c r="D146" i="67"/>
  <c r="E146" i="67" s="1"/>
  <c r="D59" i="73"/>
  <c r="E59" i="73" s="1"/>
  <c r="P160" i="67"/>
  <c r="D91" i="68"/>
  <c r="V160" i="66"/>
  <c r="U156" i="67"/>
  <c r="T157" i="66"/>
  <c r="D117" i="66"/>
  <c r="C119" i="67"/>
  <c r="C105" i="68"/>
  <c r="E105" i="68" s="1"/>
  <c r="Q154" i="67"/>
  <c r="C101" i="68"/>
  <c r="E101" i="68" s="1"/>
  <c r="D135" i="69"/>
  <c r="E135" i="69" s="1"/>
  <c r="B9" i="69" s="1"/>
  <c r="C127" i="69"/>
  <c r="R161" i="67"/>
  <c r="D111" i="68"/>
  <c r="O154" i="67"/>
  <c r="D110" i="66"/>
  <c r="C141" i="69"/>
  <c r="D99" i="66"/>
  <c r="D94" i="67"/>
  <c r="E94" i="67" s="1"/>
  <c r="D141" i="67"/>
  <c r="E141" i="67" s="1"/>
  <c r="D115" i="68"/>
  <c r="D146" i="68"/>
  <c r="C131" i="68"/>
  <c r="E131" i="68" s="1"/>
  <c r="C124" i="68"/>
  <c r="E124" i="68" s="1"/>
  <c r="V154" i="67"/>
  <c r="D151" i="68"/>
  <c r="S155" i="67"/>
  <c r="D143" i="67"/>
  <c r="E143" i="67" s="1"/>
  <c r="D57" i="71"/>
  <c r="E57" i="71" s="1"/>
  <c r="P159" i="66"/>
  <c r="C58" i="73"/>
  <c r="C91" i="68"/>
  <c r="E91" i="68" s="1"/>
  <c r="D127" i="69"/>
  <c r="E127" i="69" s="1"/>
  <c r="D181" i="69"/>
  <c r="E181" i="69" s="1"/>
  <c r="R155" i="66"/>
  <c r="D101" i="69"/>
  <c r="E101" i="69" s="1"/>
  <c r="C91" i="66"/>
  <c r="E91" i="66" s="1"/>
  <c r="D164" i="69"/>
  <c r="E164" i="69" s="1"/>
  <c r="D145" i="66"/>
  <c r="D180" i="69"/>
  <c r="E180" i="69" s="1"/>
  <c r="D173" i="68"/>
  <c r="C118" i="66"/>
  <c r="E118" i="66" s="1"/>
  <c r="C151" i="69"/>
  <c r="P156" i="66"/>
  <c r="M155" i="67"/>
  <c r="U159" i="67"/>
  <c r="U154" i="66"/>
  <c r="D96" i="68"/>
  <c r="C161" i="68"/>
  <c r="E161" i="68" s="1"/>
  <c r="Q160" i="66"/>
  <c r="T155" i="67"/>
  <c r="C138" i="69"/>
  <c r="D94" i="68"/>
  <c r="C149" i="67"/>
  <c r="C108" i="66"/>
  <c r="E108" i="66" s="1"/>
  <c r="D137" i="66"/>
  <c r="C104" i="67"/>
  <c r="C184" i="68"/>
  <c r="E184" i="68" s="1"/>
  <c r="C164" i="68"/>
  <c r="E164" i="68" s="1"/>
  <c r="C57" i="72"/>
  <c r="E57" i="72" s="1"/>
  <c r="C97" i="69"/>
  <c r="C110" i="68"/>
  <c r="E110" i="68" s="1"/>
  <c r="P157" i="66"/>
  <c r="C109" i="69"/>
  <c r="C119" i="69"/>
  <c r="D96" i="66"/>
  <c r="C134" i="67"/>
  <c r="R156" i="66"/>
  <c r="T155" i="66"/>
  <c r="D100" i="68"/>
  <c r="D134" i="69"/>
  <c r="S158" i="66"/>
  <c r="C52" i="73"/>
  <c r="M157" i="66"/>
  <c r="R156" i="67"/>
  <c r="D154" i="68"/>
  <c r="V154" i="66"/>
  <c r="N155" i="66"/>
  <c r="Q155" i="66"/>
  <c r="D98" i="66"/>
  <c r="C144" i="69"/>
  <c r="C145" i="66"/>
  <c r="E145" i="66" s="1"/>
  <c r="C180" i="69"/>
  <c r="D150" i="66"/>
  <c r="D167" i="68"/>
  <c r="D151" i="69"/>
  <c r="E151" i="69" s="1"/>
  <c r="U156" i="66"/>
  <c r="D122" i="67"/>
  <c r="E122" i="67" s="1"/>
  <c r="P159" i="67"/>
  <c r="P154" i="66"/>
  <c r="V160" i="67"/>
  <c r="Q159" i="66"/>
  <c r="C136" i="66"/>
  <c r="E136" i="66" s="1"/>
  <c r="U160" i="66"/>
  <c r="D130" i="66"/>
  <c r="C101" i="69"/>
  <c r="D150" i="67"/>
  <c r="E150" i="67" s="1"/>
  <c r="C142" i="68"/>
  <c r="E142" i="68" s="1"/>
  <c r="D139" i="66"/>
  <c r="D138" i="69"/>
  <c r="E138" i="69" s="1"/>
  <c r="B10" i="69" s="1"/>
  <c r="D55" i="71"/>
  <c r="E55" i="71" s="1"/>
  <c r="R157" i="66"/>
  <c r="O159" i="66"/>
  <c r="D108" i="66"/>
  <c r="C157" i="69"/>
  <c r="D164" i="68"/>
  <c r="D178" i="68"/>
  <c r="C105" i="69"/>
  <c r="C154" i="68"/>
  <c r="E154" i="68" s="1"/>
  <c r="D110" i="68"/>
  <c r="U157" i="66"/>
  <c r="Q158" i="66"/>
  <c r="D109" i="69"/>
  <c r="E109" i="69" s="1"/>
  <c r="C122" i="68"/>
  <c r="E122" i="68" s="1"/>
  <c r="D55" i="72"/>
  <c r="D129" i="67"/>
  <c r="E129" i="67" s="1"/>
  <c r="C16" i="67" s="1"/>
  <c r="O155" i="66"/>
  <c r="R158" i="66"/>
  <c r="M159" i="66"/>
  <c r="C152" i="69"/>
  <c r="D136" i="66"/>
  <c r="C55" i="71"/>
  <c r="C146" i="66"/>
  <c r="E146" i="66" s="1"/>
  <c r="C178" i="68"/>
  <c r="E178" i="68" s="1"/>
  <c r="C148" i="68"/>
  <c r="E148" i="68" s="1"/>
  <c r="B47" i="68" s="1"/>
  <c r="D92" i="68"/>
  <c r="D128" i="69"/>
  <c r="E128" i="69" s="1"/>
  <c r="C142" i="67"/>
  <c r="C135" i="69"/>
  <c r="C136" i="69"/>
  <c r="D112" i="68"/>
  <c r="P155" i="67"/>
  <c r="D60" i="63"/>
  <c r="D106" i="66"/>
  <c r="C105" i="67"/>
  <c r="D54" i="72"/>
  <c r="T154" i="67"/>
  <c r="D131" i="69"/>
  <c r="E131" i="69" s="1"/>
  <c r="C149" i="69"/>
  <c r="D148" i="68"/>
  <c r="C166" i="68"/>
  <c r="E166" i="68" s="1"/>
  <c r="C92" i="66"/>
  <c r="E92" i="66" s="1"/>
  <c r="D52" i="71"/>
  <c r="E52" i="71" s="1"/>
  <c r="Q154" i="66"/>
  <c r="C182" i="69"/>
  <c r="S155" i="66"/>
  <c r="D140" i="68"/>
  <c r="C56" i="72"/>
  <c r="E56" i="72" s="1"/>
  <c r="C117" i="67"/>
  <c r="C106" i="69"/>
  <c r="C101" i="66"/>
  <c r="E101" i="66" s="1"/>
  <c r="S157" i="66"/>
  <c r="V159" i="67"/>
  <c r="D140" i="66"/>
  <c r="D57" i="73"/>
  <c r="E57" i="73" s="1"/>
  <c r="C102" i="69"/>
  <c r="C112" i="68"/>
  <c r="E112" i="68" s="1"/>
  <c r="B21" i="68" s="1"/>
  <c r="C93" i="69"/>
  <c r="C59" i="70"/>
  <c r="E59" i="70" s="1"/>
  <c r="D179" i="69"/>
  <c r="E179" i="69" s="1"/>
  <c r="C144" i="66"/>
  <c r="E144" i="66" s="1"/>
  <c r="R154" i="66"/>
  <c r="M160" i="67"/>
  <c r="P161" i="66"/>
  <c r="D98" i="69"/>
  <c r="E98" i="69" s="1"/>
  <c r="C106" i="66"/>
  <c r="E106" i="66" s="1"/>
  <c r="C30" i="66" s="1"/>
  <c r="D105" i="67"/>
  <c r="E105" i="67" s="1"/>
  <c r="C107" i="69"/>
  <c r="C125" i="67"/>
  <c r="D142" i="66"/>
  <c r="D128" i="68"/>
  <c r="D117" i="68"/>
  <c r="C124" i="67"/>
  <c r="D185" i="69"/>
  <c r="E185" i="69" s="1"/>
  <c r="D111" i="66"/>
  <c r="D179" i="68"/>
  <c r="D92" i="66"/>
  <c r="D52" i="72"/>
  <c r="D100" i="67"/>
  <c r="E100" i="67" s="1"/>
  <c r="C122" i="67"/>
  <c r="C60" i="63"/>
  <c r="T159" i="66"/>
  <c r="D157" i="69"/>
  <c r="E157" i="69" s="1"/>
  <c r="D149" i="69"/>
  <c r="E149" i="69" s="1"/>
  <c r="B45" i="69" s="1"/>
  <c r="D166" i="68"/>
  <c r="C52" i="71"/>
  <c r="D182" i="69"/>
  <c r="E182" i="69" s="1"/>
  <c r="D122" i="69"/>
  <c r="E122" i="69" s="1"/>
  <c r="C100" i="68"/>
  <c r="E100" i="68" s="1"/>
  <c r="C140" i="66"/>
  <c r="E140" i="66" s="1"/>
  <c r="C134" i="69"/>
  <c r="C104" i="68"/>
  <c r="E104" i="68" s="1"/>
  <c r="D52" i="73"/>
  <c r="E52" i="73" s="1"/>
  <c r="C98" i="69"/>
  <c r="S157" i="67"/>
  <c r="D133" i="68"/>
  <c r="M156" i="67"/>
  <c r="C117" i="68"/>
  <c r="E117" i="68" s="1"/>
  <c r="D160" i="69"/>
  <c r="E160" i="69" s="1"/>
  <c r="C177" i="69"/>
  <c r="D146" i="69"/>
  <c r="T154" i="66"/>
  <c r="Q156" i="66"/>
  <c r="V156" i="67"/>
  <c r="D56" i="72"/>
  <c r="D117" i="67"/>
  <c r="E117" i="67" s="1"/>
  <c r="C126" i="69"/>
  <c r="N157" i="66"/>
  <c r="D134" i="66"/>
  <c r="S156" i="66"/>
  <c r="D113" i="67"/>
  <c r="E113" i="67" s="1"/>
  <c r="D114" i="69"/>
  <c r="E114" i="69" s="1"/>
  <c r="D60" i="70"/>
  <c r="C180" i="68"/>
  <c r="E180" i="68" s="1"/>
  <c r="D102" i="69"/>
  <c r="E102" i="69" s="1"/>
  <c r="C97" i="67"/>
  <c r="C123" i="66"/>
  <c r="E123" i="66" s="1"/>
  <c r="C177" i="68"/>
  <c r="E177" i="68" s="1"/>
  <c r="D118" i="68"/>
  <c r="D148" i="67"/>
  <c r="E148" i="67" s="1"/>
  <c r="D104" i="69"/>
  <c r="E104" i="69" s="1"/>
  <c r="M154" i="66"/>
  <c r="R160" i="67"/>
  <c r="C143" i="66"/>
  <c r="E143" i="66" s="1"/>
  <c r="V161" i="67"/>
  <c r="D118" i="67"/>
  <c r="E118" i="67" s="1"/>
  <c r="C176" i="68"/>
  <c r="E176" i="68" s="1"/>
  <c r="C141" i="66"/>
  <c r="E141" i="66" s="1"/>
  <c r="D107" i="69"/>
  <c r="E107" i="69" s="1"/>
  <c r="C129" i="67"/>
  <c r="D139" i="69"/>
  <c r="E139" i="69" s="1"/>
  <c r="B6" i="69" s="1"/>
  <c r="D116" i="67"/>
  <c r="E116" i="67" s="1"/>
  <c r="M157" i="67"/>
  <c r="D121" i="66"/>
  <c r="C54" i="72"/>
  <c r="E54" i="72" s="1"/>
  <c r="D124" i="67"/>
  <c r="E124" i="67" s="1"/>
  <c r="C93" i="67"/>
  <c r="C145" i="68"/>
  <c r="E145" i="68" s="1"/>
  <c r="O157" i="67"/>
  <c r="C93" i="68"/>
  <c r="E93" i="68" s="1"/>
  <c r="D53" i="72"/>
  <c r="D183" i="69"/>
  <c r="E183" i="69" s="1"/>
  <c r="Q157" i="66"/>
  <c r="C94" i="66"/>
  <c r="E94" i="66" s="1"/>
  <c r="C127" i="66"/>
  <c r="E127" i="66" s="1"/>
  <c r="B156" i="66" s="1"/>
  <c r="C117" i="66"/>
  <c r="E117" i="66" s="1"/>
  <c r="D125" i="68"/>
  <c r="C95" i="67"/>
  <c r="D109" i="66"/>
  <c r="D109" i="67"/>
  <c r="E109" i="67" s="1"/>
  <c r="D141" i="66"/>
  <c r="C134" i="66"/>
  <c r="E134" i="66" s="1"/>
  <c r="C102" i="68"/>
  <c r="E102" i="68" s="1"/>
  <c r="C113" i="67"/>
  <c r="N159" i="66"/>
  <c r="D97" i="68"/>
  <c r="D97" i="67"/>
  <c r="E97" i="67" s="1"/>
  <c r="C93" i="66"/>
  <c r="E93" i="66" s="1"/>
  <c r="C47" i="66" s="1"/>
  <c r="D123" i="66"/>
  <c r="N159" i="67"/>
  <c r="C118" i="68"/>
  <c r="E118" i="68" s="1"/>
  <c r="D120" i="66"/>
  <c r="C104" i="69"/>
  <c r="T158" i="67"/>
  <c r="C58" i="71"/>
  <c r="Q161" i="67"/>
  <c r="C118" i="67"/>
  <c r="D176" i="68"/>
  <c r="C149" i="68"/>
  <c r="E149" i="68" s="1"/>
  <c r="B45" i="68" s="1"/>
  <c r="C135" i="68"/>
  <c r="E135" i="68" s="1"/>
  <c r="B9" i="68" s="1"/>
  <c r="C128" i="66"/>
  <c r="E128" i="66" s="1"/>
  <c r="D101" i="68"/>
  <c r="C139" i="69"/>
  <c r="R157" i="67"/>
  <c r="C121" i="66"/>
  <c r="E121" i="66" s="1"/>
  <c r="C130" i="69"/>
  <c r="C54" i="71"/>
  <c r="C113" i="66"/>
  <c r="E113" i="66" s="1"/>
  <c r="D93" i="68"/>
  <c r="C111" i="68"/>
  <c r="E111" i="68" s="1"/>
  <c r="Q158" i="67"/>
  <c r="D144" i="69"/>
  <c r="E144" i="69" s="1"/>
  <c r="D100" i="69"/>
  <c r="E100" i="69" s="1"/>
  <c r="O157" i="66"/>
  <c r="Q160" i="67"/>
  <c r="U155" i="67"/>
  <c r="C52" i="70"/>
  <c r="E52" i="70" s="1"/>
  <c r="N157" i="67"/>
  <c r="T159" i="67"/>
  <c r="D177" i="69"/>
  <c r="E177" i="69" s="1"/>
  <c r="D93" i="69"/>
  <c r="E93" i="69" s="1"/>
  <c r="D108" i="68"/>
  <c r="M161" i="67"/>
  <c r="D95" i="67"/>
  <c r="E95" i="67" s="1"/>
  <c r="C109" i="66"/>
  <c r="E109" i="66" s="1"/>
  <c r="P155" i="66"/>
  <c r="D118" i="66"/>
  <c r="C137" i="68"/>
  <c r="E137" i="68" s="1"/>
  <c r="D102" i="68"/>
  <c r="D109" i="68"/>
  <c r="C140" i="69"/>
  <c r="R161" i="66"/>
  <c r="D156" i="68"/>
  <c r="C106" i="67"/>
  <c r="D59" i="71"/>
  <c r="E59" i="71" s="1"/>
  <c r="C96" i="68"/>
  <c r="E96" i="68" s="1"/>
  <c r="C130" i="67"/>
  <c r="C53" i="70"/>
  <c r="E53" i="70" s="1"/>
  <c r="C96" i="67"/>
  <c r="C120" i="66"/>
  <c r="E120" i="66" s="1"/>
  <c r="D119" i="67"/>
  <c r="E119" i="67" s="1"/>
  <c r="O158" i="67"/>
  <c r="D58" i="71"/>
  <c r="E58" i="71" s="1"/>
  <c r="T160" i="67"/>
  <c r="C94" i="68"/>
  <c r="E94" i="68" s="1"/>
  <c r="D149" i="67"/>
  <c r="E149" i="67" s="1"/>
  <c r="P156" i="67"/>
  <c r="D105" i="68"/>
  <c r="D128" i="66"/>
  <c r="C104" i="66"/>
  <c r="E104" i="66" s="1"/>
  <c r="D57" i="72"/>
  <c r="C126" i="68"/>
  <c r="E126" i="68" s="1"/>
  <c r="D97" i="69"/>
  <c r="E97" i="69" s="1"/>
  <c r="D54" i="71"/>
  <c r="E54" i="71" s="1"/>
  <c r="C114" i="67"/>
  <c r="D183" i="68"/>
  <c r="D135" i="68"/>
  <c r="D119" i="69"/>
  <c r="E119" i="69" s="1"/>
  <c r="B36" i="69" s="1"/>
  <c r="D134" i="67"/>
  <c r="E134" i="67" s="1"/>
  <c r="P154" i="67"/>
  <c r="V158" i="67"/>
  <c r="C124" i="66"/>
  <c r="E124" i="66" s="1"/>
  <c r="C64" i="59"/>
  <c r="D64" i="59"/>
  <c r="O14" i="66"/>
  <c r="J161" i="53"/>
  <c r="I161" i="53"/>
  <c r="H161" i="53"/>
  <c r="H158" i="53"/>
  <c r="H154" i="53"/>
  <c r="A136" i="53"/>
  <c r="A135" i="53"/>
  <c r="B134" i="53"/>
  <c r="A134" i="53"/>
  <c r="B133" i="53"/>
  <c r="A133" i="53"/>
  <c r="B132" i="53"/>
  <c r="A132" i="53"/>
  <c r="B130" i="53"/>
  <c r="B129" i="53"/>
  <c r="B128" i="53"/>
  <c r="B127" i="53"/>
  <c r="A126" i="53"/>
  <c r="A125" i="53"/>
  <c r="A124" i="53"/>
  <c r="A123" i="53"/>
  <c r="B122" i="53"/>
  <c r="A122" i="53"/>
  <c r="B121" i="53"/>
  <c r="A121" i="53"/>
  <c r="B120" i="53"/>
  <c r="A120" i="53"/>
  <c r="B119" i="53"/>
  <c r="A119" i="53"/>
  <c r="A118" i="53"/>
  <c r="B117" i="53"/>
  <c r="A117" i="53"/>
  <c r="A116" i="53"/>
  <c r="B115" i="53"/>
  <c r="A115" i="53"/>
  <c r="B114" i="53"/>
  <c r="A114" i="53"/>
  <c r="A113" i="53"/>
  <c r="A112" i="53"/>
  <c r="B111" i="53"/>
  <c r="A111" i="53"/>
  <c r="A110" i="53"/>
  <c r="A109" i="53"/>
  <c r="A108" i="53"/>
  <c r="B107" i="53"/>
  <c r="A107" i="53"/>
  <c r="A106" i="53"/>
  <c r="A105" i="53"/>
  <c r="B104" i="53"/>
  <c r="A104" i="53"/>
  <c r="A103" i="53"/>
  <c r="B102" i="53"/>
  <c r="A102" i="53"/>
  <c r="B101" i="53"/>
  <c r="A101" i="53"/>
  <c r="B100" i="53"/>
  <c r="A100" i="53"/>
  <c r="B99" i="53"/>
  <c r="A99" i="53"/>
  <c r="B98" i="53"/>
  <c r="A98" i="53"/>
  <c r="B97" i="53"/>
  <c r="A97" i="53"/>
  <c r="A96" i="53"/>
  <c r="A95" i="53"/>
  <c r="A94" i="53"/>
  <c r="A93" i="53"/>
  <c r="A92" i="53"/>
  <c r="A91" i="53"/>
  <c r="A207" i="52"/>
  <c r="A206" i="52"/>
  <c r="A205" i="52"/>
  <c r="A204" i="52"/>
  <c r="A203" i="52"/>
  <c r="A202" i="52"/>
  <c r="A201" i="52"/>
  <c r="A200" i="52"/>
  <c r="A199" i="52"/>
  <c r="A218" i="52"/>
  <c r="A217" i="52"/>
  <c r="A213" i="52"/>
  <c r="B222" i="52"/>
  <c r="B221" i="52"/>
  <c r="A220" i="52"/>
  <c r="A219" i="52"/>
  <c r="C146" i="67" a="1"/>
  <c r="C183" i="68" a="1"/>
  <c r="P160" i="66" a="1"/>
  <c r="C141" i="67" a="1"/>
  <c r="C167" i="68" a="1"/>
  <c r="C107" i="67" a="1"/>
  <c r="U157" i="67" a="1"/>
  <c r="D147" i="66" a="1"/>
  <c r="D55" i="73" a="1"/>
  <c r="D144" i="67" a="1"/>
  <c r="D145" i="67" a="1"/>
  <c r="P158" i="67" a="1"/>
  <c r="P157" i="67" a="1"/>
  <c r="D113" i="68" a="1"/>
  <c r="C55" i="73" a="1"/>
  <c r="C144" i="67" a="1"/>
  <c r="C145" i="67" a="1"/>
  <c r="Q156" i="67" a="1"/>
  <c r="H228" i="52"/>
  <c r="C121" i="69" a="1"/>
  <c r="P161" i="67" a="1"/>
  <c r="C56" i="70" a="1"/>
  <c r="D99" i="67" a="1"/>
  <c r="D127" i="68" a="1"/>
  <c r="C57" i="70" a="1"/>
  <c r="C112" i="69" a="1"/>
  <c r="C53" i="73" a="1"/>
  <c r="C151" i="68" a="1"/>
  <c r="C136" i="68" a="1"/>
  <c r="D116" i="68" a="1"/>
  <c r="U158" i="66" a="1"/>
  <c r="D58" i="70" a="1"/>
  <c r="D131" i="68" a="1"/>
  <c r="D147" i="69" a="1"/>
  <c r="D152" i="69" a="1"/>
  <c r="S158" i="67" a="1"/>
  <c r="S159" i="66" a="1"/>
  <c r="C156" i="69" a="1"/>
  <c r="D156" i="69" a="1"/>
  <c r="C146" i="68" a="1"/>
  <c r="C53" i="72" a="1"/>
  <c r="V155" i="67" a="1"/>
  <c r="C133" i="67" a="1"/>
  <c r="C121" i="68" a="1"/>
  <c r="C126" i="66" a="1"/>
  <c r="C147" i="66" a="1"/>
  <c r="C150" i="67" a="1"/>
  <c r="C160" i="69" a="1"/>
  <c r="D93" i="67" a="1"/>
  <c r="C133" i="68" a="1"/>
  <c r="U161" i="66" a="1"/>
  <c r="O160" i="66" a="1"/>
  <c r="C111" i="67" a="1"/>
  <c r="D58" i="73" a="1"/>
  <c r="M156" i="66" a="1"/>
  <c r="D161" i="68" a="1"/>
  <c r="D125" i="69" a="1"/>
  <c r="T160" i="66" a="1"/>
  <c r="C165" i="68" a="1"/>
  <c r="D124" i="68" a="1"/>
  <c r="D129" i="68" a="1"/>
  <c r="U154" i="67" a="1"/>
  <c r="C108" i="67" a="1"/>
  <c r="H213" i="52"/>
  <c r="D107" i="66" a="1"/>
  <c r="D101" i="67" a="1"/>
  <c r="S159" i="67" a="1"/>
  <c r="D138" i="67" a="1"/>
  <c r="D152" i="68" a="1"/>
  <c r="Q161" i="66" a="1"/>
  <c r="D120" i="69" a="1"/>
  <c r="C56" i="73" a="1"/>
  <c r="D98" i="68" a="1"/>
  <c r="C130" i="66" a="1"/>
  <c r="D91" i="69" a="1"/>
  <c r="C148" i="67" a="1"/>
  <c r="D112" i="69" a="1"/>
  <c r="R159" i="66" a="1"/>
  <c r="C185" i="68" a="1"/>
  <c r="D136" i="68" a="1"/>
  <c r="C130" i="68" a="1"/>
  <c r="P158" i="66" a="1"/>
  <c r="C137" i="67" a="1"/>
  <c r="C97" i="66" a="1"/>
  <c r="D141" i="68" a="1"/>
  <c r="C181" i="68" a="1"/>
  <c r="D121" i="67" a="1"/>
  <c r="C137" i="66" a="1"/>
  <c r="H221" i="52"/>
  <c r="M161" i="66" a="1"/>
  <c r="D143" i="66" a="1"/>
  <c r="C133" i="66" a="1"/>
  <c r="C128" i="69" a="1"/>
  <c r="C98" i="66" a="1"/>
  <c r="D138" i="66" a="1"/>
  <c r="D150" i="69" a="1"/>
  <c r="C148" i="69" a="1"/>
  <c r="C91" i="67" a="1"/>
  <c r="C137" i="69" a="1"/>
  <c r="C53" i="71" a="1"/>
  <c r="C138" i="66" a="1"/>
  <c r="D122" i="68" a="1"/>
  <c r="N154" i="67" a="1"/>
  <c r="D138" i="68" a="1"/>
  <c r="D137" i="69" a="1"/>
  <c r="D53" i="71" a="1"/>
  <c r="D216" i="75" a="1"/>
  <c r="C149" i="66" a="1"/>
  <c r="N161" i="67" a="1"/>
  <c r="D113" i="66" a="1"/>
  <c r="C57" i="73" a="1"/>
  <c r="C98" i="67" a="1"/>
  <c r="C115" i="66" a="1"/>
  <c r="O156" i="66" a="1"/>
  <c r="U161" i="67" a="1"/>
  <c r="D56" i="70" a="1"/>
  <c r="C99" i="67" a="1"/>
  <c r="C134" i="68" a="1"/>
  <c r="D57" i="70" a="1"/>
  <c r="C120" i="69" a="1"/>
  <c r="C140" i="67" a="1"/>
  <c r="C98" i="68" a="1"/>
  <c r="D177" i="68" a="1"/>
  <c r="V157" i="66" a="1"/>
  <c r="O156" i="67" a="1"/>
  <c r="C173" i="68" a="1"/>
  <c r="C185" i="69" a="1"/>
  <c r="D94" i="66" a="1"/>
  <c r="C59" i="73" a="1"/>
  <c r="N160" i="66" a="1"/>
  <c r="C108" i="68" a="1"/>
  <c r="S160" i="67" a="1"/>
  <c r="C148" i="66" a="1"/>
  <c r="D182" i="68" a="1"/>
  <c r="D56" i="71" a="1"/>
  <c r="D99" i="68" a="1"/>
  <c r="C99" i="66" a="1"/>
  <c r="C132" i="69" a="1"/>
  <c r="D148" i="66" a="1"/>
  <c r="D53" i="70" a="1"/>
  <c r="C56" i="71" a="1"/>
  <c r="C99" i="68" a="1"/>
  <c r="T161" i="66" a="1"/>
  <c r="H218" i="52"/>
  <c r="C139" i="66" a="1"/>
  <c r="C131" i="69" a="1"/>
  <c r="D100" i="66" a="1"/>
  <c r="C160" i="68" a="1"/>
  <c r="C54" i="70" a="1"/>
  <c r="H235" i="52"/>
  <c r="C107" i="66" a="1"/>
  <c r="C101" i="67" a="1"/>
  <c r="C92" i="68" a="1"/>
  <c r="C138" i="67" a="1"/>
  <c r="C152" i="68" a="1"/>
  <c r="V161" i="66" a="1"/>
  <c r="T156" i="66" a="1"/>
  <c r="D119" i="66" a="1"/>
  <c r="D161" i="69" a="1"/>
  <c r="C121" i="67" a="1"/>
  <c r="D134" i="68" a="1"/>
  <c r="C117" i="69" a="1"/>
  <c r="D118" i="69" a="1"/>
  <c r="C59" i="72" a="1"/>
  <c r="C128" i="67" a="1"/>
  <c r="C142" i="69" a="1"/>
  <c r="D170" i="68" a="1"/>
  <c r="C107" i="68" a="1"/>
  <c r="D154" i="69" a="1"/>
  <c r="M160" i="66" a="1"/>
  <c r="C144" i="68" a="1"/>
  <c r="D116" i="69" a="1"/>
  <c r="C92" i="67" a="1"/>
  <c r="D170" i="69" a="1"/>
  <c r="C154" i="69" a="1"/>
  <c r="D111" i="67" a="1"/>
  <c r="D144" i="68" a="1"/>
  <c r="C116" i="69" a="1"/>
  <c r="D92" i="67" a="1"/>
  <c r="C125" i="69" a="1"/>
  <c r="H234" i="52"/>
  <c r="C116" i="66" a="1"/>
  <c r="D101" i="66" a="1"/>
  <c r="Q155" i="67" a="1"/>
  <c r="D111" i="69" a="1"/>
  <c r="C119" i="68" a="1"/>
  <c r="D143" i="69" a="1"/>
  <c r="C150" i="69" a="1"/>
  <c r="D91" i="67" a="1"/>
  <c r="H227" i="52"/>
  <c r="D117" i="69" a="1"/>
  <c r="D126" i="66" a="1"/>
  <c r="R158" i="67" a="1"/>
  <c r="V158" i="66" a="1"/>
  <c r="C146" i="69" a="1"/>
  <c r="D52" i="70" a="1"/>
  <c r="C96" i="66" a="1"/>
  <c r="S154" i="66" a="1"/>
  <c r="D99" i="69" a="1"/>
  <c r="D58" i="72" a="1"/>
  <c r="C115" i="69" a="1"/>
  <c r="M158" i="66" a="1"/>
  <c r="D112" i="67" a="1"/>
  <c r="D121" i="69" a="1"/>
  <c r="C99" i="69" a="1"/>
  <c r="C58" i="72" a="1"/>
  <c r="D115" i="69" a="1"/>
  <c r="C127" i="68" a="1"/>
  <c r="C112" i="67" a="1"/>
  <c r="C110" i="69" a="1"/>
  <c r="C113" i="68" a="1"/>
  <c r="D143" i="68" a="1"/>
  <c r="D126" i="67" a="1"/>
  <c r="T158" i="66" a="1"/>
  <c r="D106" i="68" a="1"/>
  <c r="H226" i="52"/>
  <c r="D149" i="66" a="1"/>
  <c r="S161" i="67" a="1"/>
  <c r="C176" i="69" a="1"/>
  <c r="D131" i="67" a="1"/>
  <c r="D98" i="67" a="1"/>
  <c r="D108" i="69" a="1"/>
  <c r="C118" i="69" a="1"/>
  <c r="D59" i="72" a="1"/>
  <c r="D128" i="67" a="1"/>
  <c r="D142" i="69" a="1"/>
  <c r="C170" i="68" a="1"/>
  <c r="D107" i="68" a="1"/>
  <c r="C92" i="69" a="1"/>
  <c r="C141" i="68" a="1"/>
  <c r="C156" i="68" a="1"/>
  <c r="C102" i="66" a="1"/>
  <c r="S161" i="66" a="1"/>
  <c r="C124" i="69" a="1"/>
  <c r="C150" i="66" a="1"/>
  <c r="D148" i="69" a="1"/>
  <c r="D124" i="69" a="1"/>
  <c r="C143" i="69" a="1"/>
  <c r="D59" i="70" a="1"/>
  <c r="D132" i="66" a="1"/>
  <c r="U160" i="67" a="1"/>
  <c r="C97" i="68" a="1"/>
  <c r="C116" i="67" a="1"/>
  <c r="C100" i="69" a="1"/>
  <c r="C59" i="71" a="1"/>
  <c r="D124" i="66" a="1"/>
  <c r="C147" i="68" a="1"/>
  <c r="C166" i="69" a="1"/>
  <c r="D132" i="68" a="1"/>
  <c r="C125" i="66" a="1"/>
  <c r="C127" i="67" a="1"/>
  <c r="D104" i="66" a="1"/>
  <c r="D147" i="68" a="1"/>
  <c r="D166" i="69" a="1"/>
  <c r="N155" i="67" a="1"/>
  <c r="D125" i="66" a="1"/>
  <c r="D127" i="67" a="1"/>
  <c r="D167" i="69" a="1"/>
  <c r="D165" i="68" a="1"/>
  <c r="M159" i="67" a="1"/>
  <c r="C129" i="68" a="1"/>
  <c r="C136" i="67" a="1"/>
  <c r="D108" i="67" a="1"/>
  <c r="H222" i="52"/>
  <c r="D133" i="69" a="1"/>
  <c r="D145" i="68" a="1"/>
  <c r="D157" i="68" a="1"/>
  <c r="D160" i="68" a="1"/>
  <c r="D54" i="70" a="1"/>
  <c r="H219" i="52"/>
  <c r="D116" i="66" a="1"/>
  <c r="D92" i="69" a="1"/>
  <c r="D176" i="69" a="1"/>
  <c r="C131" i="67" a="1"/>
  <c r="D104" i="67" a="1"/>
  <c r="C108" i="69" a="1"/>
  <c r="O161" i="67" a="1"/>
  <c r="D142" i="68" a="1"/>
  <c r="V157" i="67" a="1"/>
  <c r="C178" i="69" a="1"/>
  <c r="R155" i="67" a="1"/>
  <c r="H229" i="52"/>
  <c r="C114" i="68" a="1"/>
  <c r="D126" i="68" a="1"/>
  <c r="C60" i="70" a="1"/>
  <c r="D122" i="66" a="1"/>
  <c r="D131" i="66" a="1"/>
  <c r="C120" i="67" a="1"/>
  <c r="N160" i="67" a="1"/>
  <c r="N156" i="67" a="1"/>
  <c r="C182" i="68" a="1"/>
  <c r="C122" i="66" a="1"/>
  <c r="C131" i="66" a="1"/>
  <c r="D120" i="67" a="1"/>
  <c r="H233" i="52"/>
  <c r="C95" i="68" a="1"/>
  <c r="R154" i="67" a="1"/>
  <c r="C129" i="69" a="1"/>
  <c r="D114" i="68" a="1"/>
  <c r="D130" i="68" a="1"/>
  <c r="C102" i="67" a="1"/>
  <c r="Q159" i="67" a="1"/>
  <c r="C113" i="69" a="1"/>
  <c r="D140" i="67" a="1"/>
  <c r="C150" i="68" a="1"/>
  <c r="D126" i="69" a="1"/>
  <c r="C95" i="69" a="1"/>
  <c r="C161" i="69" a="1"/>
  <c r="Q157" i="67" a="1"/>
  <c r="U158" i="67" a="1"/>
  <c r="D123" i="67" a="1"/>
  <c r="O155" i="67" a="1"/>
  <c r="C100" i="67" a="1"/>
  <c r="O159" i="67" a="1"/>
  <c r="D180" i="68" a="1"/>
  <c r="D114" i="66" a="1"/>
  <c r="D132" i="67" a="1"/>
  <c r="C55" i="72" a="1"/>
  <c r="C184" i="69" a="1"/>
  <c r="D54" i="73" a="1"/>
  <c r="C129" i="66" a="1"/>
  <c r="C114" i="66" a="1"/>
  <c r="C132" i="67" a="1"/>
  <c r="C122" i="69" a="1"/>
  <c r="D184" i="69" a="1"/>
  <c r="C54" i="73" a="1"/>
  <c r="D115" i="66" a="1"/>
  <c r="V159" i="66" a="1"/>
  <c r="D55" i="70" a="1"/>
  <c r="S154" i="67" a="1"/>
  <c r="C138" i="68" a="1"/>
  <c r="C116" i="68" a="1"/>
  <c r="C109" i="68" a="1"/>
  <c r="D110" i="69" a="1"/>
  <c r="C110" i="67" a="1"/>
  <c r="C143" i="68" a="1"/>
  <c r="C126" i="67" a="1"/>
  <c r="O158" i="66" a="1"/>
  <c r="C106" i="68" a="1"/>
  <c r="H220" i="52"/>
  <c r="C133" i="69" a="1"/>
  <c r="T157" i="67" a="1"/>
  <c r="C157" i="68" a="1"/>
  <c r="D178" i="69" a="1"/>
  <c r="C52" i="72" a="1"/>
  <c r="C96" i="69" a="1"/>
  <c r="R160" i="66" a="1"/>
  <c r="D145" i="69" a="1"/>
  <c r="D173" i="69" a="1"/>
  <c r="D115" i="67" a="1"/>
  <c r="C170" i="69" a="1"/>
  <c r="D216" i="74" a="1"/>
  <c r="D137" i="67" a="1"/>
  <c r="D95" i="68" a="1"/>
  <c r="C111" i="66" a="1"/>
  <c r="M154" i="67" a="1"/>
  <c r="D97" i="66" a="1"/>
  <c r="D129" i="69" a="1"/>
  <c r="N154" i="66" a="1"/>
  <c r="C125" i="68" a="1"/>
  <c r="V156" i="66" a="1"/>
  <c r="H231" i="52"/>
  <c r="D185" i="68" a="1"/>
  <c r="D113" i="69" a="1"/>
  <c r="D102" i="67" a="1"/>
  <c r="D129" i="66" a="1"/>
  <c r="O154" i="66" a="1"/>
  <c r="C165" i="69" a="1"/>
  <c r="D165" i="69" a="1"/>
  <c r="C119" i="66" a="1"/>
  <c r="C132" i="66" a="1"/>
  <c r="C109" i="67" a="1"/>
  <c r="D93" i="66" a="1"/>
  <c r="D105" i="69" a="1"/>
  <c r="N156" i="66" a="1"/>
  <c r="D130" i="67" a="1"/>
  <c r="D95" i="66" a="1"/>
  <c r="C120" i="68" a="1"/>
  <c r="D181" i="68" a="1"/>
  <c r="D133" i="67" a="1"/>
  <c r="C94" i="69" a="1"/>
  <c r="D95" i="69" a="1"/>
  <c r="O160" i="67" a="1"/>
  <c r="D120" i="68" a="1"/>
  <c r="C100" i="66" a="1"/>
  <c r="M155" i="66" a="1"/>
  <c r="D94" i="69" a="1"/>
  <c r="H224" i="52"/>
  <c r="D132" i="69" a="1"/>
  <c r="D56" i="73" a="1"/>
  <c r="C179" i="68" a="1"/>
  <c r="D91" i="66" a="1"/>
  <c r="C91" i="69" a="1"/>
  <c r="O161" i="66" a="1"/>
  <c r="C167" i="69" a="1"/>
  <c r="C58" i="70" a="1"/>
  <c r="R159" i="67" a="1"/>
  <c r="C147" i="69" a="1"/>
  <c r="D136" i="67" a="1"/>
  <c r="D139" i="68" a="1"/>
  <c r="D96" i="69" a="1"/>
  <c r="D110" i="67" a="1"/>
  <c r="C145" i="69" a="1"/>
  <c r="C173" i="69" a="1"/>
  <c r="C115" i="67" a="1"/>
  <c r="D142" i="67" a="1"/>
  <c r="D102" i="66" a="1"/>
  <c r="C111" i="69" a="1"/>
  <c r="N161" i="66" a="1"/>
  <c r="D119" i="68" a="1"/>
  <c r="D149" i="68" a="1"/>
  <c r="U155" i="66" a="1"/>
  <c r="H232" i="52"/>
  <c r="D127" i="66" a="1"/>
  <c r="C60" i="71" a="1"/>
  <c r="C112" i="66" a="1"/>
  <c r="D114" i="67" a="1"/>
  <c r="T156" i="67" a="1"/>
  <c r="C143" i="67" a="1"/>
  <c r="C105" i="66" a="1"/>
  <c r="D60" i="71" a="1"/>
  <c r="D112" i="66" a="1"/>
  <c r="C132" i="68" a="1"/>
  <c r="D146" i="66" a="1"/>
  <c r="D141" i="69" a="1"/>
  <c r="D136" i="69" a="1"/>
  <c r="C139" i="68" a="1"/>
  <c r="C94" i="67" a="1"/>
  <c r="H225" i="52"/>
  <c r="D147" i="67" a="1"/>
  <c r="C139" i="67" a="1"/>
  <c r="C147" i="67" a="1"/>
  <c r="D139" i="67" a="1"/>
  <c r="D144" i="66" a="1"/>
  <c r="H217" i="52"/>
  <c r="D137" i="68" a="1"/>
  <c r="D150" i="68" a="1"/>
  <c r="D140" i="69" a="1"/>
  <c r="T161" i="67" a="1"/>
  <c r="C110" i="66" a="1"/>
  <c r="D130" i="67" l="1"/>
  <c r="E130" i="67" s="1"/>
  <c r="N156" i="66"/>
  <c r="D105" i="69"/>
  <c r="E105" i="69" s="1"/>
  <c r="D93" i="66"/>
  <c r="C109" i="67"/>
  <c r="D180" i="68"/>
  <c r="O159" i="67"/>
  <c r="C100" i="67"/>
  <c r="O155" i="67"/>
  <c r="D123" i="67"/>
  <c r="E123" i="67" s="1"/>
  <c r="C59" i="71"/>
  <c r="C100" i="69"/>
  <c r="C116" i="67"/>
  <c r="C97" i="68"/>
  <c r="E97" i="68" s="1"/>
  <c r="U160" i="67"/>
  <c r="C96" i="66"/>
  <c r="E96" i="66" s="1"/>
  <c r="D52" i="70"/>
  <c r="C146" i="69"/>
  <c r="V158" i="66"/>
  <c r="R158" i="67"/>
  <c r="C108" i="68"/>
  <c r="E108" i="68" s="1"/>
  <c r="N160" i="66"/>
  <c r="C59" i="73"/>
  <c r="D94" i="66"/>
  <c r="C185" i="69"/>
  <c r="C98" i="66"/>
  <c r="E98" i="66" s="1"/>
  <c r="C128" i="69"/>
  <c r="C133" i="66"/>
  <c r="E133" i="66" s="1"/>
  <c r="D143" i="66"/>
  <c r="M161" i="66"/>
  <c r="U161" i="66"/>
  <c r="C133" i="68"/>
  <c r="E133" i="68" s="1"/>
  <c r="D93" i="67"/>
  <c r="E93" i="67" s="1"/>
  <c r="C47" i="67" s="1"/>
  <c r="C160" i="69"/>
  <c r="C150" i="67"/>
  <c r="C107" i="67"/>
  <c r="C167" i="68"/>
  <c r="E167" i="68" s="1"/>
  <c r="C141" i="67"/>
  <c r="P160" i="66"/>
  <c r="C183" i="68"/>
  <c r="E183" i="68" s="1"/>
  <c r="C146" i="67"/>
  <c r="C95" i="69"/>
  <c r="D129" i="66"/>
  <c r="D141" i="69"/>
  <c r="E141" i="69" s="1"/>
  <c r="B3" i="69" s="1"/>
  <c r="C129" i="69"/>
  <c r="D120" i="67"/>
  <c r="E120" i="67" s="1"/>
  <c r="C143" i="69"/>
  <c r="C125" i="69"/>
  <c r="U158" i="67"/>
  <c r="D165" i="69"/>
  <c r="E165" i="69" s="1"/>
  <c r="D139" i="67"/>
  <c r="E139" i="67" s="1"/>
  <c r="D146" i="66"/>
  <c r="V156" i="66"/>
  <c r="C131" i="66"/>
  <c r="D124" i="69"/>
  <c r="E124" i="69" s="1"/>
  <c r="D92" i="67"/>
  <c r="E92" i="67" s="1"/>
  <c r="D132" i="66"/>
  <c r="C133" i="67"/>
  <c r="D156" i="69"/>
  <c r="E156" i="69" s="1"/>
  <c r="C132" i="68"/>
  <c r="E132" i="68" s="1"/>
  <c r="R154" i="67"/>
  <c r="C122" i="66"/>
  <c r="E122" i="66" s="1"/>
  <c r="D91" i="67"/>
  <c r="E91" i="67" s="1"/>
  <c r="C116" i="69"/>
  <c r="C110" i="66"/>
  <c r="E110" i="66" s="1"/>
  <c r="C181" i="68"/>
  <c r="E181" i="68" s="1"/>
  <c r="C113" i="69"/>
  <c r="D112" i="66"/>
  <c r="C125" i="68"/>
  <c r="E125" i="68" s="1"/>
  <c r="C182" i="68"/>
  <c r="E182" i="68" s="1"/>
  <c r="D148" i="69"/>
  <c r="E148" i="69" s="1"/>
  <c r="B47" i="69" s="1"/>
  <c r="D144" i="68"/>
  <c r="C173" i="68"/>
  <c r="E173" i="68" s="1"/>
  <c r="D150" i="68"/>
  <c r="C147" i="67"/>
  <c r="D60" i="71"/>
  <c r="E60" i="71" s="1"/>
  <c r="C95" i="68"/>
  <c r="E95" i="68" s="1"/>
  <c r="N156" i="67"/>
  <c r="C150" i="69"/>
  <c r="D111" i="67"/>
  <c r="E111" i="67" s="1"/>
  <c r="C147" i="66"/>
  <c r="E147" i="66" s="1"/>
  <c r="D126" i="69"/>
  <c r="E126" i="69" s="1"/>
  <c r="D102" i="67"/>
  <c r="E102" i="67" s="1"/>
  <c r="C105" i="66"/>
  <c r="E105" i="66" s="1"/>
  <c r="N154" i="66"/>
  <c r="N160" i="67"/>
  <c r="C150" i="66"/>
  <c r="E150" i="66" s="1"/>
  <c r="C154" i="69"/>
  <c r="D126" i="66"/>
  <c r="V155" i="67"/>
  <c r="Q159" i="67"/>
  <c r="C143" i="67"/>
  <c r="D129" i="69"/>
  <c r="E129" i="69" s="1"/>
  <c r="C120" i="67"/>
  <c r="D143" i="69"/>
  <c r="E143" i="69" s="1"/>
  <c r="B72" i="69" s="1"/>
  <c r="D170" i="69"/>
  <c r="E170" i="69" s="1"/>
  <c r="C137" i="66"/>
  <c r="E137" i="66" s="1"/>
  <c r="C165" i="69"/>
  <c r="C139" i="67"/>
  <c r="T156" i="67"/>
  <c r="D97" i="66"/>
  <c r="D131" i="66"/>
  <c r="C124" i="69"/>
  <c r="C92" i="67"/>
  <c r="C132" i="66"/>
  <c r="E132" i="66" s="1"/>
  <c r="I35" i="66" s="1"/>
  <c r="I37" i="66" s="1"/>
  <c r="D137" i="68"/>
  <c r="C156" i="69"/>
  <c r="D114" i="67"/>
  <c r="E114" i="67" s="1"/>
  <c r="M154" i="67"/>
  <c r="D122" i="66"/>
  <c r="C119" i="68"/>
  <c r="E119" i="68" s="1"/>
  <c r="B36" i="68" s="1"/>
  <c r="D116" i="69"/>
  <c r="E116" i="69" s="1"/>
  <c r="Q157" i="67"/>
  <c r="D141" i="68"/>
  <c r="D113" i="69"/>
  <c r="E113" i="69" s="1"/>
  <c r="C112" i="66"/>
  <c r="E112" i="66" s="1"/>
  <c r="C111" i="66"/>
  <c r="E111" i="66" s="1"/>
  <c r="C60" i="70"/>
  <c r="E60" i="70" s="1"/>
  <c r="S161" i="66"/>
  <c r="C144" i="68"/>
  <c r="E144" i="68" s="1"/>
  <c r="D59" i="70"/>
  <c r="C150" i="68"/>
  <c r="E150" i="68" s="1"/>
  <c r="D147" i="67"/>
  <c r="E147" i="67" s="1"/>
  <c r="C60" i="71"/>
  <c r="D95" i="68"/>
  <c r="D126" i="68"/>
  <c r="D111" i="69"/>
  <c r="E111" i="69" s="1"/>
  <c r="M160" i="66"/>
  <c r="T161" i="67"/>
  <c r="C53" i="72"/>
  <c r="E53" i="72" s="1"/>
  <c r="C102" i="67"/>
  <c r="D127" i="66"/>
  <c r="D137" i="67"/>
  <c r="E137" i="67" s="1"/>
  <c r="C114" i="68"/>
  <c r="E114" i="68" s="1"/>
  <c r="C102" i="66"/>
  <c r="E102" i="66" s="1"/>
  <c r="D154" i="69"/>
  <c r="E154" i="69" s="1"/>
  <c r="C126" i="66"/>
  <c r="E126" i="66" s="1"/>
  <c r="Q155" i="67"/>
  <c r="C107" i="68"/>
  <c r="E107" i="68" s="1"/>
  <c r="D117" i="69"/>
  <c r="E117" i="69" s="1"/>
  <c r="O154" i="66"/>
  <c r="S159" i="66"/>
  <c r="U155" i="66"/>
  <c r="C170" i="69"/>
  <c r="R155" i="67"/>
  <c r="C156" i="68"/>
  <c r="E156" i="68" s="1"/>
  <c r="D170" i="68"/>
  <c r="O156" i="67"/>
  <c r="C97" i="66"/>
  <c r="E97" i="66" s="1"/>
  <c r="D130" i="68"/>
  <c r="D149" i="68"/>
  <c r="D115" i="67"/>
  <c r="E115" i="67" s="1"/>
  <c r="C178" i="69"/>
  <c r="D101" i="66"/>
  <c r="C142" i="69"/>
  <c r="D121" i="67"/>
  <c r="E121" i="67" s="1"/>
  <c r="C146" i="68"/>
  <c r="C94" i="67"/>
  <c r="D119" i="68"/>
  <c r="D173" i="69"/>
  <c r="E173" i="69" s="1"/>
  <c r="V157" i="67"/>
  <c r="C141" i="68"/>
  <c r="E141" i="68" s="1"/>
  <c r="B3" i="68" s="1"/>
  <c r="C128" i="67"/>
  <c r="C161" i="69"/>
  <c r="D144" i="66"/>
  <c r="D185" i="68"/>
  <c r="N161" i="66"/>
  <c r="D145" i="69"/>
  <c r="E145" i="69" s="1"/>
  <c r="D142" i="68"/>
  <c r="C92" i="69"/>
  <c r="C59" i="72"/>
  <c r="E59" i="72" s="1"/>
  <c r="C119" i="66"/>
  <c r="E119" i="66" s="1"/>
  <c r="D140" i="67"/>
  <c r="E140" i="67" s="1"/>
  <c r="S158" i="67"/>
  <c r="C111" i="69"/>
  <c r="R160" i="66"/>
  <c r="O161" i="67"/>
  <c r="C116" i="66"/>
  <c r="E116" i="66" s="1"/>
  <c r="D118" i="69"/>
  <c r="E118" i="69" s="1"/>
  <c r="C121" i="68"/>
  <c r="E121" i="68" s="1"/>
  <c r="C137" i="67"/>
  <c r="D114" i="68"/>
  <c r="D102" i="66"/>
  <c r="C96" i="69"/>
  <c r="C108" i="69"/>
  <c r="D107" i="68"/>
  <c r="C117" i="69"/>
  <c r="V157" i="66"/>
  <c r="P158" i="66"/>
  <c r="C139" i="68"/>
  <c r="E139" i="68" s="1"/>
  <c r="B6" i="68" s="1"/>
  <c r="D142" i="67"/>
  <c r="E142" i="67" s="1"/>
  <c r="C52" i="72"/>
  <c r="E52" i="72" s="1"/>
  <c r="D104" i="67"/>
  <c r="E104" i="67" s="1"/>
  <c r="C170" i="68"/>
  <c r="E170" i="68" s="1"/>
  <c r="D134" i="68"/>
  <c r="D140" i="69"/>
  <c r="E140" i="69" s="1"/>
  <c r="B5" i="69" s="1"/>
  <c r="C130" i="68"/>
  <c r="E130" i="68" s="1"/>
  <c r="D152" i="69"/>
  <c r="E152" i="69" s="1"/>
  <c r="C115" i="67"/>
  <c r="D178" i="69"/>
  <c r="E178" i="69" s="1"/>
  <c r="C131" i="67"/>
  <c r="D142" i="69"/>
  <c r="E142" i="69" s="1"/>
  <c r="C121" i="67"/>
  <c r="D177" i="68"/>
  <c r="D136" i="68"/>
  <c r="D147" i="69"/>
  <c r="E147" i="69" s="1"/>
  <c r="B44" i="69" s="1"/>
  <c r="C173" i="69"/>
  <c r="C157" i="68"/>
  <c r="E157" i="68" s="1"/>
  <c r="D176" i="69"/>
  <c r="E176" i="69" s="1"/>
  <c r="D128" i="67"/>
  <c r="E128" i="67" s="1"/>
  <c r="D161" i="69"/>
  <c r="E161" i="69" s="1"/>
  <c r="C98" i="68"/>
  <c r="E98" i="68" s="1"/>
  <c r="C185" i="68"/>
  <c r="E185" i="68" s="1"/>
  <c r="D131" i="68"/>
  <c r="C145" i="69"/>
  <c r="T157" i="67"/>
  <c r="D92" i="69"/>
  <c r="E92" i="69" s="1"/>
  <c r="D59" i="72"/>
  <c r="D119" i="66"/>
  <c r="C140" i="67"/>
  <c r="R159" i="66"/>
  <c r="D58" i="70"/>
  <c r="D110" i="67"/>
  <c r="E110" i="67" s="1"/>
  <c r="C48" i="67" s="1"/>
  <c r="C133" i="69"/>
  <c r="D116" i="66"/>
  <c r="C118" i="69"/>
  <c r="T156" i="66"/>
  <c r="C120" i="69"/>
  <c r="D112" i="69"/>
  <c r="E112" i="69" s="1"/>
  <c r="B21" i="69" s="1"/>
  <c r="D136" i="69"/>
  <c r="E136" i="69" s="1"/>
  <c r="D96" i="69"/>
  <c r="E96" i="69" s="1"/>
  <c r="D108" i="69"/>
  <c r="E108" i="69" s="1"/>
  <c r="V161" i="66"/>
  <c r="D57" i="70"/>
  <c r="C148" i="67"/>
  <c r="U158" i="66"/>
  <c r="D139" i="68"/>
  <c r="C106" i="68"/>
  <c r="E106" i="68" s="1"/>
  <c r="D54" i="70"/>
  <c r="D98" i="67"/>
  <c r="E98" i="67" s="1"/>
  <c r="C152" i="68"/>
  <c r="E152" i="68" s="1"/>
  <c r="C134" i="68"/>
  <c r="D91" i="69"/>
  <c r="E91" i="69" s="1"/>
  <c r="D116" i="68"/>
  <c r="D136" i="67"/>
  <c r="E136" i="67" s="1"/>
  <c r="O158" i="66"/>
  <c r="D160" i="68"/>
  <c r="D131" i="67"/>
  <c r="C138" i="67"/>
  <c r="C99" i="67"/>
  <c r="C130" i="66"/>
  <c r="E130" i="66" s="1"/>
  <c r="C136" i="68"/>
  <c r="E136" i="68" s="1"/>
  <c r="C147" i="69"/>
  <c r="C126" i="67"/>
  <c r="D157" i="68"/>
  <c r="C176" i="69"/>
  <c r="C92" i="68"/>
  <c r="E92" i="68" s="1"/>
  <c r="D56" i="70"/>
  <c r="D98" i="68"/>
  <c r="C151" i="68"/>
  <c r="E151" i="68" s="1"/>
  <c r="R159" i="67"/>
  <c r="C143" i="68"/>
  <c r="E143" i="68" s="1"/>
  <c r="B72" i="68" s="1"/>
  <c r="D145" i="68"/>
  <c r="S161" i="67"/>
  <c r="C101" i="67"/>
  <c r="U161" i="67"/>
  <c r="C56" i="73"/>
  <c r="C53" i="73"/>
  <c r="C58" i="70"/>
  <c r="E58" i="70" s="1"/>
  <c r="C110" i="67"/>
  <c r="D133" i="69"/>
  <c r="E133" i="69" s="1"/>
  <c r="D149" i="66"/>
  <c r="C107" i="66"/>
  <c r="E107" i="66" s="1"/>
  <c r="C48" i="66" s="1"/>
  <c r="C49" i="66" s="1"/>
  <c r="O156" i="66"/>
  <c r="E156" i="66" s="1"/>
  <c r="D120" i="69"/>
  <c r="E120" i="69" s="1"/>
  <c r="C112" i="69"/>
  <c r="C167" i="69"/>
  <c r="D110" i="69"/>
  <c r="E110" i="69" s="1"/>
  <c r="C115" i="66"/>
  <c r="E115" i="66" s="1"/>
  <c r="Q161" i="66"/>
  <c r="C57" i="70"/>
  <c r="E57" i="70" s="1"/>
  <c r="O161" i="66"/>
  <c r="C109" i="68"/>
  <c r="E109" i="68" s="1"/>
  <c r="D108" i="67"/>
  <c r="E108" i="67" s="1"/>
  <c r="D106" i="68"/>
  <c r="C54" i="70"/>
  <c r="E54" i="70" s="1"/>
  <c r="A6" i="70" s="1"/>
  <c r="C98" i="67"/>
  <c r="D152" i="68"/>
  <c r="D127" i="68"/>
  <c r="C91" i="69"/>
  <c r="C116" i="68"/>
  <c r="E116" i="68" s="1"/>
  <c r="C136" i="67"/>
  <c r="T158" i="66"/>
  <c r="C160" i="68"/>
  <c r="E160" i="68" s="1"/>
  <c r="C57" i="73"/>
  <c r="D138" i="67"/>
  <c r="E138" i="67" s="1"/>
  <c r="D99" i="67"/>
  <c r="E99" i="67" s="1"/>
  <c r="D91" i="66"/>
  <c r="C138" i="68"/>
  <c r="E138" i="68" s="1"/>
  <c r="B10" i="68" s="1"/>
  <c r="C129" i="68"/>
  <c r="E129" i="68" s="1"/>
  <c r="D126" i="67"/>
  <c r="E126" i="67" s="1"/>
  <c r="D100" i="66"/>
  <c r="D113" i="66"/>
  <c r="S159" i="67"/>
  <c r="C56" i="70"/>
  <c r="E56" i="70" s="1"/>
  <c r="E1" i="70" s="1"/>
  <c r="C179" i="68"/>
  <c r="E179" i="68" s="1"/>
  <c r="S154" i="67"/>
  <c r="M159" i="67"/>
  <c r="D143" i="68"/>
  <c r="C131" i="69"/>
  <c r="N161" i="67"/>
  <c r="D101" i="67"/>
  <c r="E101" i="67" s="1"/>
  <c r="P161" i="67"/>
  <c r="D56" i="73"/>
  <c r="E56" i="73" s="1"/>
  <c r="D55" i="70"/>
  <c r="D165" i="68"/>
  <c r="C113" i="68"/>
  <c r="E113" i="68" s="1"/>
  <c r="C139" i="66"/>
  <c r="E139" i="66" s="1"/>
  <c r="C149" i="66"/>
  <c r="E149" i="66" s="1"/>
  <c r="D107" i="66"/>
  <c r="C121" i="69"/>
  <c r="D132" i="69"/>
  <c r="E132" i="69" s="1"/>
  <c r="V159" i="66"/>
  <c r="D167" i="69"/>
  <c r="E167" i="69" s="1"/>
  <c r="C110" i="69"/>
  <c r="D115" i="66"/>
  <c r="D127" i="67"/>
  <c r="E127" i="67" s="1"/>
  <c r="C112" i="67"/>
  <c r="T161" i="66"/>
  <c r="D53" i="71"/>
  <c r="E53" i="71" s="1"/>
  <c r="A23" i="71" s="1"/>
  <c r="C108" i="67"/>
  <c r="Q156" i="67"/>
  <c r="D94" i="69"/>
  <c r="E94" i="69" s="1"/>
  <c r="U4" i="69" s="1"/>
  <c r="C54" i="73"/>
  <c r="D125" i="66"/>
  <c r="C127" i="68"/>
  <c r="E127" i="68" s="1"/>
  <c r="C99" i="68"/>
  <c r="E99" i="68" s="1"/>
  <c r="D137" i="69"/>
  <c r="E137" i="69" s="1"/>
  <c r="U154" i="67"/>
  <c r="C145" i="67"/>
  <c r="M155" i="66"/>
  <c r="D184" i="69"/>
  <c r="E184" i="69" s="1"/>
  <c r="N155" i="67"/>
  <c r="D115" i="69"/>
  <c r="E115" i="69" s="1"/>
  <c r="C56" i="71"/>
  <c r="D138" i="68"/>
  <c r="D129" i="68"/>
  <c r="C144" i="67"/>
  <c r="C100" i="66"/>
  <c r="E100" i="66" s="1"/>
  <c r="C122" i="69"/>
  <c r="D166" i="69"/>
  <c r="E166" i="69" s="1"/>
  <c r="C58" i="72"/>
  <c r="E58" i="72" s="1"/>
  <c r="D53" i="70"/>
  <c r="N154" i="67"/>
  <c r="D124" i="68"/>
  <c r="C55" i="73"/>
  <c r="D120" i="68"/>
  <c r="C132" i="67"/>
  <c r="D147" i="68"/>
  <c r="C99" i="69"/>
  <c r="D148" i="66"/>
  <c r="D122" i="68"/>
  <c r="C165" i="68"/>
  <c r="E165" i="68" s="1"/>
  <c r="D113" i="68"/>
  <c r="O160" i="67"/>
  <c r="C114" i="66"/>
  <c r="E114" i="66" s="1"/>
  <c r="D104" i="66"/>
  <c r="D121" i="69"/>
  <c r="E121" i="69" s="1"/>
  <c r="C132" i="69"/>
  <c r="C138" i="66"/>
  <c r="E138" i="66" s="1"/>
  <c r="T160" i="66"/>
  <c r="P157" i="67"/>
  <c r="D95" i="69"/>
  <c r="E95" i="69" s="1"/>
  <c r="C129" i="66"/>
  <c r="E129" i="66" s="1"/>
  <c r="C127" i="67"/>
  <c r="D112" i="67"/>
  <c r="E112" i="67" s="1"/>
  <c r="C99" i="66"/>
  <c r="E99" i="66" s="1"/>
  <c r="F17" i="66" s="1"/>
  <c r="C53" i="71"/>
  <c r="D125" i="69"/>
  <c r="E125" i="69" s="1"/>
  <c r="P158" i="67"/>
  <c r="C94" i="69"/>
  <c r="D54" i="73"/>
  <c r="E54" i="73" s="1"/>
  <c r="C125" i="66"/>
  <c r="E125" i="66" s="1"/>
  <c r="M158" i="66"/>
  <c r="D99" i="68"/>
  <c r="C137" i="69"/>
  <c r="D161" i="68"/>
  <c r="D145" i="67"/>
  <c r="E145" i="67" s="1"/>
  <c r="D133" i="67"/>
  <c r="E133" i="67" s="1"/>
  <c r="C184" i="69"/>
  <c r="D132" i="68"/>
  <c r="C115" i="69"/>
  <c r="D56" i="71"/>
  <c r="E56" i="71" s="1"/>
  <c r="C91" i="67"/>
  <c r="M156" i="66"/>
  <c r="C156" i="66" s="1"/>
  <c r="D144" i="67"/>
  <c r="E144" i="67" s="1"/>
  <c r="D181" i="68"/>
  <c r="C55" i="72"/>
  <c r="E55" i="72" s="1"/>
  <c r="C166" i="69"/>
  <c r="D58" i="72"/>
  <c r="D182" i="68"/>
  <c r="C148" i="69"/>
  <c r="D58" i="73"/>
  <c r="E58" i="73" s="1"/>
  <c r="D55" i="73"/>
  <c r="E55" i="73" s="1"/>
  <c r="C120" i="68"/>
  <c r="E120" i="68" s="1"/>
  <c r="D132" i="67"/>
  <c r="E132" i="67" s="1"/>
  <c r="I35" i="67" s="1"/>
  <c r="I37" i="67" s="1"/>
  <c r="C147" i="68"/>
  <c r="E147" i="68" s="1"/>
  <c r="B44" i="68" s="1"/>
  <c r="D99" i="69"/>
  <c r="E99" i="69" s="1"/>
  <c r="C148" i="66"/>
  <c r="E148" i="66" s="1"/>
  <c r="D150" i="69"/>
  <c r="E150" i="69" s="1"/>
  <c r="C111" i="67"/>
  <c r="D147" i="66"/>
  <c r="D95" i="66"/>
  <c r="D114" i="66"/>
  <c r="D124" i="66"/>
  <c r="S154" i="66"/>
  <c r="S160" i="67"/>
  <c r="D138" i="66"/>
  <c r="O160" i="66"/>
  <c r="U157" i="67"/>
  <c r="V7" i="69"/>
  <c r="V4" i="68"/>
  <c r="G16" i="67"/>
  <c r="D156" i="66"/>
  <c r="U9" i="69"/>
  <c r="B7" i="69"/>
  <c r="B8" i="69"/>
  <c r="U11" i="69"/>
  <c r="D16" i="67"/>
  <c r="A28" i="70"/>
  <c r="E16" i="67"/>
  <c r="A22" i="70"/>
  <c r="A7" i="70"/>
  <c r="A19" i="70"/>
  <c r="A32" i="70"/>
  <c r="F16" i="67"/>
  <c r="A4" i="70"/>
  <c r="A5" i="70"/>
  <c r="B155" i="67"/>
  <c r="E155" i="67" s="1"/>
  <c r="A24" i="71"/>
  <c r="V12" i="68"/>
  <c r="A21" i="70"/>
  <c r="A14" i="70"/>
  <c r="A8" i="70"/>
  <c r="A30" i="70"/>
  <c r="A26" i="70"/>
  <c r="A25" i="70"/>
  <c r="A13" i="70"/>
  <c r="U8" i="69"/>
  <c r="D216" i="75"/>
  <c r="E216" i="75" s="1"/>
  <c r="B112" i="75" s="1"/>
  <c r="D216" i="74"/>
  <c r="A9" i="68"/>
  <c r="B15" i="68"/>
  <c r="A22" i="67"/>
  <c r="A157" i="67" s="1"/>
  <c r="A18" i="67"/>
  <c r="A26" i="67"/>
  <c r="A161" i="67" s="1"/>
  <c r="V10" i="68"/>
  <c r="U3" i="68"/>
  <c r="V8" i="68"/>
  <c r="B4" i="69"/>
  <c r="B48" i="69"/>
  <c r="U12" i="68"/>
  <c r="D18" i="67"/>
  <c r="F18" i="67"/>
  <c r="G18" i="67"/>
  <c r="C18" i="67"/>
  <c r="B157" i="67"/>
  <c r="E18" i="67"/>
  <c r="U10" i="68"/>
  <c r="A23" i="67"/>
  <c r="A158" i="67" s="1"/>
  <c r="A15" i="67"/>
  <c r="A19" i="67"/>
  <c r="A154" i="67" s="1"/>
  <c r="I3" i="67"/>
  <c r="B15" i="67"/>
  <c r="U4" i="68"/>
  <c r="U11" i="68"/>
  <c r="F38" i="66"/>
  <c r="G38" i="66"/>
  <c r="G6" i="66"/>
  <c r="E38" i="66"/>
  <c r="F6" i="66"/>
  <c r="D38" i="66"/>
  <c r="E6" i="66"/>
  <c r="H85" i="66"/>
  <c r="D6" i="66"/>
  <c r="U8" i="68"/>
  <c r="U5" i="68"/>
  <c r="U6" i="68"/>
  <c r="A20" i="66"/>
  <c r="A155" i="66" s="1"/>
  <c r="A24" i="66"/>
  <c r="A159" i="66" s="1"/>
  <c r="A16" i="66"/>
  <c r="V9" i="68"/>
  <c r="G156" i="66"/>
  <c r="F156" i="66"/>
  <c r="B160" i="66"/>
  <c r="C14" i="66"/>
  <c r="C3" i="66"/>
  <c r="E15" i="66"/>
  <c r="F15" i="66"/>
  <c r="G15" i="66"/>
  <c r="D15" i="66"/>
  <c r="B154" i="66"/>
  <c r="C15" i="66"/>
  <c r="A9" i="69"/>
  <c r="B15" i="69"/>
  <c r="V11" i="68"/>
  <c r="A21" i="66"/>
  <c r="A156" i="66" s="1"/>
  <c r="A17" i="66"/>
  <c r="A25" i="66"/>
  <c r="A160" i="66" s="1"/>
  <c r="V3" i="68"/>
  <c r="V6" i="68"/>
  <c r="V5" i="68"/>
  <c r="U9" i="68"/>
  <c r="B4" i="68"/>
  <c r="B48" i="68"/>
  <c r="S9" i="69"/>
  <c r="S8" i="69"/>
  <c r="S7" i="69"/>
  <c r="S10" i="69"/>
  <c r="S11" i="69"/>
  <c r="S12" i="69"/>
  <c r="B14" i="69"/>
  <c r="E64" i="59"/>
  <c r="B33" i="59" s="1"/>
  <c r="O15" i="66"/>
  <c r="G233" i="52"/>
  <c r="F233" i="52"/>
  <c r="G231" i="52"/>
  <c r="F231" i="52"/>
  <c r="G234" i="52"/>
  <c r="F234" i="52"/>
  <c r="F232" i="52"/>
  <c r="G232" i="52"/>
  <c r="G235" i="52"/>
  <c r="F235" i="52"/>
  <c r="F229" i="52"/>
  <c r="G229" i="52"/>
  <c r="F228" i="52"/>
  <c r="G228" i="52"/>
  <c r="F227" i="52"/>
  <c r="G227" i="52"/>
  <c r="G226" i="52"/>
  <c r="F226" i="52"/>
  <c r="G225" i="52"/>
  <c r="F225" i="52"/>
  <c r="G224" i="52"/>
  <c r="F224" i="52"/>
  <c r="G218" i="52"/>
  <c r="F218" i="52"/>
  <c r="G217" i="52"/>
  <c r="F217" i="52"/>
  <c r="G213" i="52"/>
  <c r="F213" i="52"/>
  <c r="G222" i="52"/>
  <c r="F222" i="52"/>
  <c r="G221" i="52"/>
  <c r="F221" i="52"/>
  <c r="F220" i="52"/>
  <c r="G220" i="52"/>
  <c r="G219" i="52"/>
  <c r="F219" i="52"/>
  <c r="C207" i="74" a="1"/>
  <c r="D159" i="69" a="1"/>
  <c r="C207" i="75" a="1"/>
  <c r="C216" i="75" a="1"/>
  <c r="C216" i="74" a="1"/>
  <c r="C60" i="73" a="1"/>
  <c r="D159" i="68" a="1"/>
  <c r="C60" i="72" a="1"/>
  <c r="C49" i="67" l="1"/>
  <c r="A5" i="72"/>
  <c r="A12" i="70"/>
  <c r="A27" i="70"/>
  <c r="A9" i="70"/>
  <c r="V7" i="68"/>
  <c r="A17" i="70"/>
  <c r="A15" i="70"/>
  <c r="A27" i="71"/>
  <c r="A16" i="70"/>
  <c r="A12" i="71"/>
  <c r="W18" i="67"/>
  <c r="A29" i="71"/>
  <c r="A14" i="71"/>
  <c r="A17" i="71"/>
  <c r="A21" i="71"/>
  <c r="A7" i="71"/>
  <c r="A8" i="72"/>
  <c r="F39" i="66"/>
  <c r="A10" i="73"/>
  <c r="W31" i="67"/>
  <c r="A4" i="71"/>
  <c r="V11" i="69"/>
  <c r="U12" i="69"/>
  <c r="W12" i="67"/>
  <c r="V6" i="69"/>
  <c r="A8" i="71"/>
  <c r="U6" i="69"/>
  <c r="A15" i="71"/>
  <c r="V12" i="69"/>
  <c r="V8" i="69"/>
  <c r="V3" i="69"/>
  <c r="D17" i="66"/>
  <c r="W17" i="67"/>
  <c r="A10" i="71"/>
  <c r="V9" i="69"/>
  <c r="E17" i="66"/>
  <c r="A13" i="71"/>
  <c r="A9" i="72"/>
  <c r="G17" i="66"/>
  <c r="A30" i="71"/>
  <c r="A6" i="71"/>
  <c r="C17" i="66"/>
  <c r="U5" i="69"/>
  <c r="F37" i="67"/>
  <c r="F37" i="66"/>
  <c r="W20" i="67"/>
  <c r="W8" i="66"/>
  <c r="W22" i="67"/>
  <c r="W14" i="67"/>
  <c r="W4" i="66"/>
  <c r="W30" i="67"/>
  <c r="W14" i="66"/>
  <c r="W10" i="67"/>
  <c r="W23" i="67"/>
  <c r="W5" i="67"/>
  <c r="W15" i="67"/>
  <c r="A18" i="70"/>
  <c r="A11" i="71"/>
  <c r="A26" i="71"/>
  <c r="A3" i="70"/>
  <c r="K31" i="70" s="1"/>
  <c r="W7" i="66"/>
  <c r="A25" i="71"/>
  <c r="W19" i="67"/>
  <c r="W24" i="67"/>
  <c r="W11" i="67"/>
  <c r="E37" i="67"/>
  <c r="W6" i="66"/>
  <c r="A13" i="73"/>
  <c r="A10" i="72"/>
  <c r="W13" i="67"/>
  <c r="D39" i="67"/>
  <c r="D37" i="66"/>
  <c r="W12" i="66"/>
  <c r="B12" i="69"/>
  <c r="W16" i="67"/>
  <c r="W25" i="67"/>
  <c r="W10" i="66"/>
  <c r="W7" i="67"/>
  <c r="A3" i="73"/>
  <c r="B16" i="73" s="1"/>
  <c r="W11" i="66"/>
  <c r="C28" i="66"/>
  <c r="B35" i="66" s="1"/>
  <c r="A12" i="73"/>
  <c r="D37" i="67"/>
  <c r="W28" i="67"/>
  <c r="G37" i="67"/>
  <c r="W6" i="67"/>
  <c r="W9" i="67"/>
  <c r="D1" i="72"/>
  <c r="G39" i="66"/>
  <c r="W9" i="66"/>
  <c r="G39" i="67"/>
  <c r="W13" i="66"/>
  <c r="G37" i="66"/>
  <c r="E37" i="66"/>
  <c r="A15" i="72"/>
  <c r="U7" i="69"/>
  <c r="W21" i="67"/>
  <c r="F39" i="67"/>
  <c r="W27" i="67"/>
  <c r="A29" i="70"/>
  <c r="E1" i="71"/>
  <c r="A24" i="70"/>
  <c r="A5" i="71"/>
  <c r="A28" i="71"/>
  <c r="A9" i="71"/>
  <c r="A23" i="70"/>
  <c r="A11" i="70"/>
  <c r="A20" i="70"/>
  <c r="U10" i="69"/>
  <c r="E39" i="67"/>
  <c r="W26" i="67"/>
  <c r="W8" i="67"/>
  <c r="W29" i="67"/>
  <c r="E39" i="66"/>
  <c r="W4" i="67"/>
  <c r="A10" i="70"/>
  <c r="V4" i="69"/>
  <c r="D39" i="66"/>
  <c r="W5" i="66"/>
  <c r="A3" i="71"/>
  <c r="C31" i="71" s="1"/>
  <c r="A16" i="71"/>
  <c r="V5" i="69"/>
  <c r="A6" i="73"/>
  <c r="A14" i="73"/>
  <c r="C28" i="67"/>
  <c r="B35" i="67" s="1"/>
  <c r="A6" i="72"/>
  <c r="A8" i="73"/>
  <c r="A15" i="73"/>
  <c r="A11" i="72"/>
  <c r="A13" i="72"/>
  <c r="C216" i="74"/>
  <c r="E216" i="74" s="1"/>
  <c r="B112" i="74" s="1"/>
  <c r="C216" i="75"/>
  <c r="A7" i="72"/>
  <c r="A22" i="71"/>
  <c r="A20" i="71"/>
  <c r="A32" i="71"/>
  <c r="A3" i="72"/>
  <c r="B16" i="72" s="1"/>
  <c r="D1" i="73"/>
  <c r="A4" i="73"/>
  <c r="A7" i="73"/>
  <c r="S29" i="67"/>
  <c r="S9" i="67"/>
  <c r="S50" i="67"/>
  <c r="S17" i="67"/>
  <c r="S42" i="67"/>
  <c r="S20" i="67"/>
  <c r="S40" i="67"/>
  <c r="S5" i="67"/>
  <c r="S37" i="67"/>
  <c r="S43" i="67"/>
  <c r="S8" i="67"/>
  <c r="S28" i="67"/>
  <c r="S6" i="67"/>
  <c r="S47" i="67"/>
  <c r="S21" i="67"/>
  <c r="E10" i="67"/>
  <c r="S27" i="67"/>
  <c r="G10" i="67"/>
  <c r="S19" i="67"/>
  <c r="S44" i="67"/>
  <c r="S39" i="67"/>
  <c r="S24" i="67"/>
  <c r="S41" i="67"/>
  <c r="C10" i="67"/>
  <c r="S48" i="67"/>
  <c r="S16" i="67"/>
  <c r="S23" i="67"/>
  <c r="S49" i="67"/>
  <c r="S15" i="67"/>
  <c r="S36" i="67"/>
  <c r="S46" i="67"/>
  <c r="S7" i="67"/>
  <c r="S51" i="67"/>
  <c r="S34" i="67"/>
  <c r="S26" i="67"/>
  <c r="S18" i="67"/>
  <c r="S25" i="67"/>
  <c r="D10" i="67"/>
  <c r="S22" i="67"/>
  <c r="S10" i="67"/>
  <c r="S14" i="67"/>
  <c r="S13" i="67"/>
  <c r="S32" i="67"/>
  <c r="S11" i="67"/>
  <c r="S45" i="67"/>
  <c r="S30" i="67"/>
  <c r="S35" i="67"/>
  <c r="S33" i="67"/>
  <c r="S38" i="67"/>
  <c r="S12" i="67"/>
  <c r="S4" i="67"/>
  <c r="S31" i="67"/>
  <c r="F10" i="67"/>
  <c r="C3" i="67"/>
  <c r="C14" i="67"/>
  <c r="D6" i="67"/>
  <c r="E6" i="67"/>
  <c r="F38" i="67"/>
  <c r="D38" i="67"/>
  <c r="H85" i="67"/>
  <c r="G6" i="67"/>
  <c r="E38" i="67"/>
  <c r="G38" i="67"/>
  <c r="F6" i="67"/>
  <c r="A18" i="71"/>
  <c r="A5" i="73"/>
  <c r="A4" i="72"/>
  <c r="B156" i="67"/>
  <c r="E17" i="67"/>
  <c r="E31" i="67" s="1"/>
  <c r="D17" i="67"/>
  <c r="C17" i="67"/>
  <c r="G17" i="67"/>
  <c r="F17" i="67"/>
  <c r="G16" i="66"/>
  <c r="B155" i="66"/>
  <c r="E16" i="66"/>
  <c r="D16" i="66"/>
  <c r="F16" i="66"/>
  <c r="C16" i="66"/>
  <c r="B7" i="68"/>
  <c r="B8" i="68"/>
  <c r="B12" i="68" s="1"/>
  <c r="A18" i="66"/>
  <c r="A26" i="66"/>
  <c r="A161" i="66" s="1"/>
  <c r="A22" i="66"/>
  <c r="A157" i="66" s="1"/>
  <c r="A20" i="67"/>
  <c r="A155" i="67" s="1"/>
  <c r="A24" i="67"/>
  <c r="A159" i="67" s="1"/>
  <c r="A16" i="67"/>
  <c r="A12" i="72"/>
  <c r="A14" i="72"/>
  <c r="A9" i="73"/>
  <c r="I3" i="66"/>
  <c r="B15" i="66"/>
  <c r="V10" i="69"/>
  <c r="U3" i="69"/>
  <c r="B16" i="68"/>
  <c r="B49" i="68"/>
  <c r="B51" i="68" s="1"/>
  <c r="S9" i="68"/>
  <c r="B14" i="68"/>
  <c r="S7" i="68"/>
  <c r="U7" i="68" s="1"/>
  <c r="U14" i="68" s="1"/>
  <c r="S12" i="68"/>
  <c r="S10" i="68"/>
  <c r="S11" i="68"/>
  <c r="S8" i="68"/>
  <c r="A23" i="66"/>
  <c r="A158" i="66" s="1"/>
  <c r="A15" i="66"/>
  <c r="A19" i="66"/>
  <c r="A154" i="66" s="1"/>
  <c r="G21" i="66" s="1"/>
  <c r="A21" i="67"/>
  <c r="A156" i="67" s="1"/>
  <c r="A17" i="67"/>
  <c r="A25" i="67"/>
  <c r="A160" i="67" s="1"/>
  <c r="F10" i="66"/>
  <c r="S24" i="66"/>
  <c r="S47" i="66"/>
  <c r="S15" i="66"/>
  <c r="G10" i="66"/>
  <c r="S26" i="66"/>
  <c r="S18" i="66"/>
  <c r="S16" i="66"/>
  <c r="S51" i="66"/>
  <c r="S29" i="66"/>
  <c r="S48" i="66"/>
  <c r="S28" i="66"/>
  <c r="S49" i="66"/>
  <c r="S33" i="66"/>
  <c r="S21" i="66"/>
  <c r="S19" i="66"/>
  <c r="S14" i="66"/>
  <c r="S46" i="66"/>
  <c r="S38" i="66"/>
  <c r="S35" i="66"/>
  <c r="S4" i="66"/>
  <c r="C10" i="66"/>
  <c r="S13" i="66"/>
  <c r="S37" i="66"/>
  <c r="E10" i="66"/>
  <c r="S23" i="66"/>
  <c r="S42" i="66"/>
  <c r="S5" i="66"/>
  <c r="S9" i="66"/>
  <c r="S41" i="66"/>
  <c r="S8" i="66"/>
  <c r="S22" i="66"/>
  <c r="S25" i="66"/>
  <c r="S20" i="66"/>
  <c r="S32" i="66"/>
  <c r="S10" i="66"/>
  <c r="S6" i="66"/>
  <c r="S27" i="66"/>
  <c r="S44" i="66"/>
  <c r="S45" i="66"/>
  <c r="S17" i="66"/>
  <c r="S50" i="66"/>
  <c r="S31" i="66"/>
  <c r="S30" i="66"/>
  <c r="S34" i="66"/>
  <c r="S12" i="66"/>
  <c r="D10" i="66"/>
  <c r="S40" i="66"/>
  <c r="S7" i="66"/>
  <c r="S36" i="66"/>
  <c r="S43" i="66"/>
  <c r="S39" i="66"/>
  <c r="S11" i="66"/>
  <c r="A11" i="73"/>
  <c r="A19" i="71"/>
  <c r="B49" i="69"/>
  <c r="B51" i="69" s="1"/>
  <c r="B16" i="69"/>
  <c r="B17" i="69" s="1"/>
  <c r="D18" i="66"/>
  <c r="G18" i="66"/>
  <c r="F18" i="66"/>
  <c r="C18" i="66"/>
  <c r="B157" i="66"/>
  <c r="E18" i="66"/>
  <c r="D15" i="67"/>
  <c r="C15" i="67"/>
  <c r="E15" i="67"/>
  <c r="F15" i="67"/>
  <c r="B154" i="67"/>
  <c r="G15" i="67"/>
  <c r="G155" i="67"/>
  <c r="D155" i="67"/>
  <c r="C155" i="67"/>
  <c r="F155" i="67"/>
  <c r="B159" i="67"/>
  <c r="E159" i="67" s="1"/>
  <c r="D31" i="70"/>
  <c r="E31" i="70"/>
  <c r="E31" i="66"/>
  <c r="B31" i="71"/>
  <c r="K31" i="71"/>
  <c r="E31" i="71"/>
  <c r="C60" i="72"/>
  <c r="E60" i="72" s="1"/>
  <c r="A18" i="72" s="1"/>
  <c r="C60" i="73"/>
  <c r="V14" i="68"/>
  <c r="C207" i="74"/>
  <c r="E207" i="74" s="1"/>
  <c r="B111" i="74" s="1"/>
  <c r="C207" i="75"/>
  <c r="D159" i="68"/>
  <c r="D159" i="69"/>
  <c r="E159" i="69" s="1"/>
  <c r="G160" i="66"/>
  <c r="F160" i="66"/>
  <c r="E160" i="66"/>
  <c r="D160" i="66"/>
  <c r="C160" i="66"/>
  <c r="B158" i="66"/>
  <c r="C154" i="66"/>
  <c r="E154" i="66"/>
  <c r="G154" i="66"/>
  <c r="D154" i="66"/>
  <c r="F154" i="66"/>
  <c r="F157" i="67"/>
  <c r="C157" i="67"/>
  <c r="D157" i="67"/>
  <c r="B161" i="67"/>
  <c r="G157" i="67"/>
  <c r="E157" i="67"/>
  <c r="B25" i="67"/>
  <c r="B23" i="67"/>
  <c r="B20" i="67"/>
  <c r="B22" i="67"/>
  <c r="B26" i="67"/>
  <c r="B19" i="67"/>
  <c r="B16" i="67"/>
  <c r="B21" i="67"/>
  <c r="B17" i="67"/>
  <c r="B18" i="67"/>
  <c r="B24" i="67"/>
  <c r="C6" i="66"/>
  <c r="C37" i="66"/>
  <c r="C5" i="66"/>
  <c r="C38" i="66"/>
  <c r="D4" i="66"/>
  <c r="C39" i="66"/>
  <c r="M4" i="66"/>
  <c r="O16" i="66"/>
  <c r="W15" i="66"/>
  <c r="A212" i="52"/>
  <c r="A211" i="52"/>
  <c r="A214" i="52"/>
  <c r="A215" i="52"/>
  <c r="A216" i="52"/>
  <c r="A210" i="52"/>
  <c r="A209" i="52"/>
  <c r="D198" i="52"/>
  <c r="C198" i="52"/>
  <c r="B198" i="52"/>
  <c r="A55" i="62"/>
  <c r="A54" i="62"/>
  <c r="A53" i="62"/>
  <c r="A56" i="62"/>
  <c r="A52" i="62"/>
  <c r="B56" i="62"/>
  <c r="B55" i="62"/>
  <c r="B54" i="62"/>
  <c r="B52" i="62"/>
  <c r="B52" i="63"/>
  <c r="A52" i="63"/>
  <c r="B54" i="63"/>
  <c r="A54" i="63"/>
  <c r="A55" i="63"/>
  <c r="B55" i="63"/>
  <c r="B56" i="63"/>
  <c r="A56" i="63"/>
  <c r="A57" i="63"/>
  <c r="A59" i="62"/>
  <c r="A58" i="62"/>
  <c r="A57" i="62"/>
  <c r="B53" i="62"/>
  <c r="D51" i="62"/>
  <c r="C51" i="62"/>
  <c r="B51" i="62"/>
  <c r="C158" i="68" a="1"/>
  <c r="D209" i="75" a="1"/>
  <c r="C219" i="75" a="1"/>
  <c r="D225" i="75" a="1"/>
  <c r="C219" i="74" a="1"/>
  <c r="C229" i="75" a="1"/>
  <c r="D229" i="75" a="1"/>
  <c r="C209" i="74" a="1"/>
  <c r="C220" i="75" a="1"/>
  <c r="C232" i="75" a="1"/>
  <c r="D232" i="74" a="1"/>
  <c r="D229" i="74" a="1"/>
  <c r="C209" i="75" a="1"/>
  <c r="C232" i="74" a="1"/>
  <c r="D228" i="74" a="1"/>
  <c r="D228" i="75" a="1"/>
  <c r="C228" i="75" a="1"/>
  <c r="C159" i="68" a="1"/>
  <c r="C227" i="74" a="1"/>
  <c r="C228" i="74" a="1"/>
  <c r="D232" i="75" a="1"/>
  <c r="D60" i="72" a="1"/>
  <c r="D225" i="74" a="1"/>
  <c r="D226" i="74" a="1"/>
  <c r="C227" i="75" a="1"/>
  <c r="C158" i="69" a="1"/>
  <c r="D60" i="73" a="1"/>
  <c r="C220" i="74" a="1"/>
  <c r="D210" i="75" a="1"/>
  <c r="D209" i="74" a="1"/>
  <c r="D210" i="74" a="1"/>
  <c r="C229" i="74" a="1"/>
  <c r="D226" i="75" a="1"/>
  <c r="D207" i="74" a="1"/>
  <c r="C159" i="69" a="1"/>
  <c r="D207" i="75" a="1"/>
  <c r="C16" i="73" l="1"/>
  <c r="J16" i="73"/>
  <c r="D16" i="73"/>
  <c r="B33" i="66"/>
  <c r="D31" i="66"/>
  <c r="C31" i="66"/>
  <c r="G33" i="66"/>
  <c r="B33" i="67"/>
  <c r="F31" i="66"/>
  <c r="B17" i="68"/>
  <c r="C29" i="66"/>
  <c r="C34" i="66" s="1"/>
  <c r="U14" i="69"/>
  <c r="D31" i="67"/>
  <c r="C19" i="66"/>
  <c r="C21" i="66"/>
  <c r="C33" i="66" s="1"/>
  <c r="D21" i="66"/>
  <c r="D33" i="66" s="1"/>
  <c r="C31" i="70"/>
  <c r="F21" i="66"/>
  <c r="F33" i="66" s="1"/>
  <c r="B31" i="70"/>
  <c r="E19" i="66"/>
  <c r="G25" i="66"/>
  <c r="G35" i="66" s="1"/>
  <c r="G50" i="66" s="1"/>
  <c r="A33" i="71"/>
  <c r="A31" i="71" s="1"/>
  <c r="A33" i="70"/>
  <c r="A31" i="70" s="1"/>
  <c r="D31" i="71"/>
  <c r="D232" i="75"/>
  <c r="E232" i="75" s="1"/>
  <c r="G67" i="75" s="1"/>
  <c r="D232" i="74"/>
  <c r="C229" i="75"/>
  <c r="C229" i="74"/>
  <c r="E229" i="74" s="1"/>
  <c r="D14" i="74" s="1"/>
  <c r="D209" i="75"/>
  <c r="E209" i="75" s="1"/>
  <c r="D209" i="74"/>
  <c r="D19" i="66"/>
  <c r="B31" i="67"/>
  <c r="G31" i="66"/>
  <c r="B31" i="66"/>
  <c r="E25" i="66"/>
  <c r="E35" i="66" s="1"/>
  <c r="E50" i="66" s="1"/>
  <c r="V14" i="69"/>
  <c r="C31" i="67"/>
  <c r="E21" i="66"/>
  <c r="E33" i="66" s="1"/>
  <c r="D226" i="75"/>
  <c r="E226" i="75" s="1"/>
  <c r="G15" i="75" s="1"/>
  <c r="D226" i="74"/>
  <c r="F22" i="67"/>
  <c r="C25" i="66"/>
  <c r="C35" i="66" s="1"/>
  <c r="C16" i="72"/>
  <c r="F31" i="67"/>
  <c r="G31" i="67"/>
  <c r="G20" i="67"/>
  <c r="D25" i="66"/>
  <c r="D35" i="66" s="1"/>
  <c r="D50" i="66" s="1"/>
  <c r="C29" i="67"/>
  <c r="C32" i="67" s="1"/>
  <c r="G19" i="66"/>
  <c r="F25" i="66"/>
  <c r="F35" i="66" s="1"/>
  <c r="C43" i="66" s="1"/>
  <c r="J47" i="66" s="1"/>
  <c r="AG24" i="66" s="1"/>
  <c r="F19" i="66"/>
  <c r="A19" i="73"/>
  <c r="C232" i="74"/>
  <c r="E232" i="74" s="1"/>
  <c r="G67" i="74" s="1"/>
  <c r="C232" i="75"/>
  <c r="D207" i="75"/>
  <c r="E207" i="75" s="1"/>
  <c r="B111" i="75" s="1"/>
  <c r="D207" i="74"/>
  <c r="D60" i="73"/>
  <c r="E60" i="73" s="1"/>
  <c r="A18" i="73" s="1"/>
  <c r="D60" i="72"/>
  <c r="C209" i="75"/>
  <c r="C209" i="74"/>
  <c r="E209" i="74" s="1"/>
  <c r="C159" i="68"/>
  <c r="E159" i="68" s="1"/>
  <c r="C159" i="69"/>
  <c r="C22" i="67"/>
  <c r="D20" i="67"/>
  <c r="G154" i="67"/>
  <c r="C19" i="67" s="1"/>
  <c r="C154" i="67"/>
  <c r="D19" i="67" s="1"/>
  <c r="B158" i="67"/>
  <c r="F154" i="67"/>
  <c r="G19" i="67" s="1"/>
  <c r="E154" i="67"/>
  <c r="F19" i="67" s="1"/>
  <c r="D154" i="67"/>
  <c r="E19" i="67" s="1"/>
  <c r="H10" i="66"/>
  <c r="D11" i="66" s="1"/>
  <c r="B160" i="67"/>
  <c r="F156" i="67"/>
  <c r="G21" i="67" s="1"/>
  <c r="G33" i="67" s="1"/>
  <c r="D156" i="67"/>
  <c r="E21" i="67" s="1"/>
  <c r="E33" i="67" s="1"/>
  <c r="E156" i="67"/>
  <c r="F21" i="67" s="1"/>
  <c r="F33" i="67" s="1"/>
  <c r="G156" i="67"/>
  <c r="C21" i="67" s="1"/>
  <c r="C33" i="67" s="1"/>
  <c r="C156" i="67"/>
  <c r="D21" i="67" s="1"/>
  <c r="D33" i="67" s="1"/>
  <c r="B18" i="66"/>
  <c r="B16" i="66"/>
  <c r="B25" i="66"/>
  <c r="B22" i="66"/>
  <c r="B23" i="66"/>
  <c r="B24" i="66"/>
  <c r="B26" i="66"/>
  <c r="B17" i="66"/>
  <c r="B20" i="66"/>
  <c r="B19" i="66"/>
  <c r="B21" i="66"/>
  <c r="D16" i="72"/>
  <c r="F20" i="67"/>
  <c r="E20" i="67"/>
  <c r="D155" i="66"/>
  <c r="E20" i="66" s="1"/>
  <c r="E155" i="66"/>
  <c r="F20" i="66" s="1"/>
  <c r="F155" i="66"/>
  <c r="G20" i="66" s="1"/>
  <c r="B159" i="66"/>
  <c r="C155" i="66"/>
  <c r="D20" i="66" s="1"/>
  <c r="G155" i="66"/>
  <c r="C20" i="66" s="1"/>
  <c r="G157" i="66"/>
  <c r="C22" i="66" s="1"/>
  <c r="B161" i="66"/>
  <c r="C157" i="66"/>
  <c r="D22" i="66" s="1"/>
  <c r="E157" i="66"/>
  <c r="F22" i="66" s="1"/>
  <c r="D157" i="66"/>
  <c r="E22" i="66" s="1"/>
  <c r="F157" i="66"/>
  <c r="G22" i="66" s="1"/>
  <c r="C20" i="67"/>
  <c r="D22" i="67"/>
  <c r="G22" i="67"/>
  <c r="H10" i="67"/>
  <c r="A19" i="72"/>
  <c r="A17" i="72" s="1"/>
  <c r="J16" i="72"/>
  <c r="E22" i="67"/>
  <c r="F24" i="67"/>
  <c r="C6" i="67"/>
  <c r="C5" i="67"/>
  <c r="C37" i="67"/>
  <c r="M4" i="67"/>
  <c r="D4" i="67"/>
  <c r="C39" i="67"/>
  <c r="C38" i="67"/>
  <c r="F50" i="66"/>
  <c r="C159" i="67"/>
  <c r="D24" i="67" s="1"/>
  <c r="G159" i="67"/>
  <c r="C24" i="67" s="1"/>
  <c r="F159" i="67"/>
  <c r="G24" i="67" s="1"/>
  <c r="D159" i="67"/>
  <c r="E24" i="67" s="1"/>
  <c r="C228" i="75"/>
  <c r="C228" i="74"/>
  <c r="E228" i="74" s="1"/>
  <c r="G17" i="74" s="1"/>
  <c r="C227" i="74"/>
  <c r="E227" i="74" s="1"/>
  <c r="G16" i="74" s="1"/>
  <c r="C227" i="75"/>
  <c r="D32" i="67"/>
  <c r="E34" i="66"/>
  <c r="F34" i="66"/>
  <c r="D34" i="66"/>
  <c r="E34" i="67"/>
  <c r="D228" i="75"/>
  <c r="E228" i="75" s="1"/>
  <c r="G17" i="75" s="1"/>
  <c r="D228" i="74"/>
  <c r="D229" i="74"/>
  <c r="D229" i="75"/>
  <c r="E229" i="75" s="1"/>
  <c r="D14" i="75" s="1"/>
  <c r="D225" i="75"/>
  <c r="E225" i="75" s="1"/>
  <c r="G14" i="75" s="1"/>
  <c r="D225" i="74"/>
  <c r="F34" i="67"/>
  <c r="B32" i="67"/>
  <c r="C220" i="75"/>
  <c r="C220" i="74"/>
  <c r="E220" i="74" s="1"/>
  <c r="C219" i="75"/>
  <c r="C219" i="74"/>
  <c r="E219" i="74" s="1"/>
  <c r="D210" i="74"/>
  <c r="D210" i="75"/>
  <c r="E210" i="75" s="1"/>
  <c r="B116" i="75" s="1"/>
  <c r="C158" i="69"/>
  <c r="C158" i="68"/>
  <c r="E158" i="68" s="1"/>
  <c r="C50" i="66"/>
  <c r="G158" i="66"/>
  <c r="C23" i="66" s="1"/>
  <c r="C158" i="66"/>
  <c r="D23" i="66" s="1"/>
  <c r="E158" i="66"/>
  <c r="F23" i="66" s="1"/>
  <c r="F158" i="66"/>
  <c r="G23" i="66" s="1"/>
  <c r="D158" i="66"/>
  <c r="E23" i="66" s="1"/>
  <c r="E161" i="67"/>
  <c r="F26" i="67" s="1"/>
  <c r="F161" i="67"/>
  <c r="G26" i="67" s="1"/>
  <c r="C161" i="67"/>
  <c r="D26" i="67" s="1"/>
  <c r="G161" i="67"/>
  <c r="C26" i="67" s="1"/>
  <c r="D161" i="67"/>
  <c r="E26" i="67" s="1"/>
  <c r="O17" i="66"/>
  <c r="W16" i="66"/>
  <c r="E56" i="62"/>
  <c r="E54" i="62"/>
  <c r="E52" i="62"/>
  <c r="E55" i="62"/>
  <c r="E53" i="62"/>
  <c r="A58" i="63"/>
  <c r="A59" i="63"/>
  <c r="B53" i="63"/>
  <c r="D233" i="75" a="1"/>
  <c r="D233" i="74" a="1"/>
  <c r="D220" i="74" a="1"/>
  <c r="C233" i="74" a="1"/>
  <c r="D234" i="75" a="1"/>
  <c r="C225" i="75" a="1"/>
  <c r="D220" i="75" a="1"/>
  <c r="D158" i="68" a="1"/>
  <c r="D158" i="69" a="1"/>
  <c r="C210" i="74" a="1"/>
  <c r="D224" i="75" a="1"/>
  <c r="C233" i="75" a="1"/>
  <c r="C234" i="74" a="1"/>
  <c r="D219" i="75" a="1"/>
  <c r="C224" i="75" a="1"/>
  <c r="D163" i="68" a="1"/>
  <c r="C234" i="75" a="1"/>
  <c r="D219" i="74" a="1"/>
  <c r="D163" i="69" a="1"/>
  <c r="C231" i="75" a="1"/>
  <c r="C226" i="74" a="1"/>
  <c r="D227" i="75" a="1"/>
  <c r="C235" i="75" a="1"/>
  <c r="C210" i="75" a="1"/>
  <c r="C224" i="74" a="1"/>
  <c r="D235" i="75" a="1"/>
  <c r="C225" i="74" a="1"/>
  <c r="D224" i="74" a="1"/>
  <c r="D235" i="74" a="1"/>
  <c r="C226" i="75" a="1"/>
  <c r="D227" i="74" a="1"/>
  <c r="C231" i="74" a="1"/>
  <c r="D234" i="74" a="1"/>
  <c r="C235" i="74" a="1"/>
  <c r="D233" i="74" l="1"/>
  <c r="D233" i="75"/>
  <c r="E233" i="75" s="1"/>
  <c r="G68" i="75" s="1"/>
  <c r="E36" i="67"/>
  <c r="E51" i="67" s="1"/>
  <c r="G32" i="67"/>
  <c r="B36" i="67"/>
  <c r="B34" i="67"/>
  <c r="D234" i="75"/>
  <c r="E234" i="75" s="1"/>
  <c r="G69" i="75" s="1"/>
  <c r="D234" i="74"/>
  <c r="D235" i="75"/>
  <c r="E235" i="75" s="1"/>
  <c r="D68" i="75" s="1"/>
  <c r="AN3" i="75" s="1"/>
  <c r="AN4" i="75" s="1"/>
  <c r="D235" i="74"/>
  <c r="D41" i="66"/>
  <c r="X9" i="66" s="1"/>
  <c r="B36" i="66"/>
  <c r="C32" i="66"/>
  <c r="C41" i="66"/>
  <c r="N4" i="66" s="1"/>
  <c r="D36" i="66"/>
  <c r="D51" i="66" s="1"/>
  <c r="G36" i="66"/>
  <c r="G51" i="66" s="1"/>
  <c r="E36" i="66"/>
  <c r="E51" i="66" s="1"/>
  <c r="G34" i="66"/>
  <c r="E41" i="66"/>
  <c r="X18" i="66" s="1"/>
  <c r="D32" i="66"/>
  <c r="E32" i="66"/>
  <c r="C36" i="66"/>
  <c r="C51" i="66" s="1"/>
  <c r="G32" i="66"/>
  <c r="F32" i="66"/>
  <c r="B34" i="66"/>
  <c r="B32" i="66"/>
  <c r="F36" i="66"/>
  <c r="F51" i="66" s="1"/>
  <c r="D219" i="74"/>
  <c r="D219" i="75"/>
  <c r="E219" i="75" s="1"/>
  <c r="C210" i="74"/>
  <c r="E210" i="74" s="1"/>
  <c r="B116" i="74" s="1"/>
  <c r="C210" i="75"/>
  <c r="G41" i="66"/>
  <c r="X28" i="66" s="1"/>
  <c r="C36" i="67"/>
  <c r="C51" i="67" s="1"/>
  <c r="G36" i="67"/>
  <c r="G51" i="67" s="1"/>
  <c r="A17" i="73"/>
  <c r="C34" i="67"/>
  <c r="C225" i="75"/>
  <c r="C225" i="74"/>
  <c r="E225" i="74" s="1"/>
  <c r="G14" i="74" s="1"/>
  <c r="C226" i="74"/>
  <c r="E226" i="74" s="1"/>
  <c r="G15" i="74" s="1"/>
  <c r="C226" i="75"/>
  <c r="D227" i="75"/>
  <c r="E227" i="75" s="1"/>
  <c r="G16" i="75" s="1"/>
  <c r="D227" i="74"/>
  <c r="C224" i="74"/>
  <c r="E224" i="74" s="1"/>
  <c r="C9" i="74" s="1"/>
  <c r="C224" i="75"/>
  <c r="D224" i="75"/>
  <c r="E224" i="75" s="1"/>
  <c r="C9" i="75" s="1"/>
  <c r="D224" i="74"/>
  <c r="D220" i="75"/>
  <c r="E220" i="75" s="1"/>
  <c r="D220" i="74"/>
  <c r="F41" i="66"/>
  <c r="X23" i="66" s="1"/>
  <c r="C233" i="75"/>
  <c r="C233" i="74"/>
  <c r="E233" i="74" s="1"/>
  <c r="G68" i="74" s="1"/>
  <c r="F32" i="67"/>
  <c r="AH24" i="66"/>
  <c r="D34" i="67"/>
  <c r="D36" i="67"/>
  <c r="D51" i="67" s="1"/>
  <c r="AI24" i="66"/>
  <c r="G34" i="67"/>
  <c r="E32" i="67"/>
  <c r="F36" i="67"/>
  <c r="F51" i="67" s="1"/>
  <c r="C234" i="75"/>
  <c r="C234" i="74"/>
  <c r="E234" i="74" s="1"/>
  <c r="G69" i="74" s="1"/>
  <c r="D158" i="69"/>
  <c r="E158" i="69" s="1"/>
  <c r="D158" i="68"/>
  <c r="C235" i="74"/>
  <c r="E235" i="74" s="1"/>
  <c r="D68" i="74" s="1"/>
  <c r="AN3" i="74" s="1"/>
  <c r="AN4" i="74" s="1"/>
  <c r="C235" i="75"/>
  <c r="E161" i="66"/>
  <c r="F26" i="66" s="1"/>
  <c r="F161" i="66"/>
  <c r="G26" i="66" s="1"/>
  <c r="G161" i="66"/>
  <c r="C26" i="66" s="1"/>
  <c r="C161" i="66"/>
  <c r="D26" i="66" s="1"/>
  <c r="D161" i="66"/>
  <c r="E26" i="66" s="1"/>
  <c r="D158" i="67"/>
  <c r="E23" i="67" s="1"/>
  <c r="E158" i="67"/>
  <c r="F23" i="67" s="1"/>
  <c r="F158" i="67"/>
  <c r="G23" i="67" s="1"/>
  <c r="G158" i="67"/>
  <c r="C23" i="67" s="1"/>
  <c r="C158" i="67"/>
  <c r="D23" i="67" s="1"/>
  <c r="D159" i="66"/>
  <c r="E24" i="66" s="1"/>
  <c r="E159" i="66"/>
  <c r="F24" i="66" s="1"/>
  <c r="G159" i="66"/>
  <c r="C24" i="66" s="1"/>
  <c r="F159" i="66"/>
  <c r="G24" i="66" s="1"/>
  <c r="C159" i="66"/>
  <c r="D24" i="66" s="1"/>
  <c r="D160" i="67"/>
  <c r="E25" i="67" s="1"/>
  <c r="E35" i="67" s="1"/>
  <c r="C160" i="67"/>
  <c r="D25" i="67" s="1"/>
  <c r="D35" i="67" s="1"/>
  <c r="F160" i="67"/>
  <c r="G25" i="67" s="1"/>
  <c r="G35" i="67" s="1"/>
  <c r="E160" i="67"/>
  <c r="F25" i="67" s="1"/>
  <c r="F35" i="67" s="1"/>
  <c r="G160" i="67"/>
  <c r="C25" i="67" s="1"/>
  <c r="C35" i="67" s="1"/>
  <c r="C11" i="66"/>
  <c r="E11" i="66"/>
  <c r="F11" i="66"/>
  <c r="G11" i="66"/>
  <c r="F11" i="67"/>
  <c r="C11" i="67"/>
  <c r="G11" i="67"/>
  <c r="D11" i="67"/>
  <c r="E11" i="67"/>
  <c r="D90" i="74"/>
  <c r="C231" i="75"/>
  <c r="C231" i="74"/>
  <c r="E231" i="74" s="1"/>
  <c r="C62" i="74" s="1"/>
  <c r="D163" i="68"/>
  <c r="D163" i="69"/>
  <c r="E163" i="69" s="1"/>
  <c r="O18" i="66"/>
  <c r="W17" i="66"/>
  <c r="A10" i="62"/>
  <c r="A13" i="62"/>
  <c r="A14" i="62"/>
  <c r="A12" i="62"/>
  <c r="A3" i="62"/>
  <c r="A5" i="62"/>
  <c r="D1" i="62"/>
  <c r="A15" i="62"/>
  <c r="A7" i="62"/>
  <c r="A4" i="62"/>
  <c r="A9" i="62"/>
  <c r="A6" i="62"/>
  <c r="A11" i="62"/>
  <c r="A8" i="62"/>
  <c r="E54" i="63"/>
  <c r="E55" i="63"/>
  <c r="E56" i="63"/>
  <c r="E52" i="63"/>
  <c r="A53" i="63"/>
  <c r="E53" i="63" s="1"/>
  <c r="D51" i="63"/>
  <c r="C51" i="63"/>
  <c r="B51" i="63"/>
  <c r="H203" i="52"/>
  <c r="H215" i="52"/>
  <c r="H216" i="52"/>
  <c r="C221" i="52" a="1"/>
  <c r="H211" i="52"/>
  <c r="H56" i="62"/>
  <c r="H204" i="52"/>
  <c r="H200" i="52"/>
  <c r="C222" i="52" a="1"/>
  <c r="D222" i="52" a="1"/>
  <c r="H53" i="62"/>
  <c r="H52" i="63"/>
  <c r="H55" i="63"/>
  <c r="H60" i="62"/>
  <c r="H57" i="62"/>
  <c r="H207" i="52"/>
  <c r="H53" i="63"/>
  <c r="H201" i="52"/>
  <c r="H58" i="62"/>
  <c r="H57" i="63"/>
  <c r="H206" i="52"/>
  <c r="H54" i="62"/>
  <c r="H55" i="62"/>
  <c r="D231" i="75" a="1"/>
  <c r="C163" i="69" a="1"/>
  <c r="H202" i="52"/>
  <c r="H212" i="52"/>
  <c r="D221" i="52" a="1"/>
  <c r="H52" i="62"/>
  <c r="H58" i="63"/>
  <c r="C163" i="68" a="1"/>
  <c r="H205" i="52"/>
  <c r="H56" i="63"/>
  <c r="H209" i="52"/>
  <c r="H59" i="63"/>
  <c r="H199" i="52"/>
  <c r="H210" i="52"/>
  <c r="H214" i="52"/>
  <c r="D231" i="74" a="1"/>
  <c r="H54" i="63"/>
  <c r="H59" i="62"/>
  <c r="X6" i="66" l="1"/>
  <c r="X5" i="66"/>
  <c r="X7" i="66"/>
  <c r="X8" i="66"/>
  <c r="X4" i="66"/>
  <c r="D231" i="74"/>
  <c r="D231" i="75"/>
  <c r="E231" i="75" s="1"/>
  <c r="C62" i="75" s="1"/>
  <c r="C163" i="68"/>
  <c r="E163" i="68" s="1"/>
  <c r="C163" i="69"/>
  <c r="D90" i="75"/>
  <c r="C50" i="67"/>
  <c r="C41" i="67"/>
  <c r="N4" i="67" s="1"/>
  <c r="H11" i="66"/>
  <c r="C43" i="67"/>
  <c r="J47" i="67" s="1"/>
  <c r="F41" i="67"/>
  <c r="X23" i="67" s="1"/>
  <c r="F50" i="67"/>
  <c r="G50" i="67"/>
  <c r="G41" i="67"/>
  <c r="X28" i="67" s="1"/>
  <c r="D50" i="67"/>
  <c r="D41" i="67"/>
  <c r="X9" i="67" s="1"/>
  <c r="H11" i="67"/>
  <c r="E50" i="67"/>
  <c r="E41" i="67"/>
  <c r="X18" i="67" s="1"/>
  <c r="O19" i="66"/>
  <c r="W18" i="66"/>
  <c r="X15" i="66"/>
  <c r="X10" i="66"/>
  <c r="X17" i="66"/>
  <c r="X12" i="66"/>
  <c r="X11" i="66"/>
  <c r="X13" i="66"/>
  <c r="X16" i="66"/>
  <c r="X14" i="66"/>
  <c r="C221" i="52"/>
  <c r="E221" i="52" s="1"/>
  <c r="G214" i="52"/>
  <c r="F214" i="52"/>
  <c r="F207" i="52"/>
  <c r="G207" i="52"/>
  <c r="F212" i="52"/>
  <c r="G212" i="52"/>
  <c r="F56" i="62"/>
  <c r="G56" i="62"/>
  <c r="G58" i="63"/>
  <c r="F58" i="63"/>
  <c r="F202" i="52"/>
  <c r="G202" i="52"/>
  <c r="F210" i="52"/>
  <c r="G210" i="52"/>
  <c r="G60" i="62"/>
  <c r="F60" i="62"/>
  <c r="F215" i="52"/>
  <c r="G215" i="52"/>
  <c r="G216" i="52"/>
  <c r="F216" i="52"/>
  <c r="F59" i="63"/>
  <c r="G59" i="63"/>
  <c r="G53" i="62"/>
  <c r="F53" i="62"/>
  <c r="G203" i="52"/>
  <c r="F203" i="52"/>
  <c r="G59" i="62"/>
  <c r="F59" i="62"/>
  <c r="F57" i="62"/>
  <c r="G57" i="62"/>
  <c r="G54" i="62"/>
  <c r="F54" i="62"/>
  <c r="F55" i="62"/>
  <c r="G55" i="62"/>
  <c r="G204" i="52"/>
  <c r="F204" i="52"/>
  <c r="D221" i="52"/>
  <c r="G206" i="52"/>
  <c r="F206" i="52"/>
  <c r="D222" i="52"/>
  <c r="F201" i="52"/>
  <c r="G201" i="52"/>
  <c r="G58" i="62"/>
  <c r="F58" i="62"/>
  <c r="G211" i="52"/>
  <c r="F211" i="52"/>
  <c r="G199" i="52"/>
  <c r="F199" i="52"/>
  <c r="G52" i="62"/>
  <c r="F52" i="62"/>
  <c r="G205" i="52"/>
  <c r="F205" i="52"/>
  <c r="G209" i="52"/>
  <c r="F209" i="52"/>
  <c r="G200" i="52"/>
  <c r="F200" i="52"/>
  <c r="C222" i="52"/>
  <c r="E222" i="52" s="1"/>
  <c r="A30" i="63"/>
  <c r="A26" i="63"/>
  <c r="A22" i="63"/>
  <c r="A18" i="63"/>
  <c r="A14" i="63"/>
  <c r="A10" i="63"/>
  <c r="A6" i="63"/>
  <c r="E1" i="63"/>
  <c r="A29" i="63"/>
  <c r="A25" i="63"/>
  <c r="A21" i="63"/>
  <c r="A17" i="63"/>
  <c r="A13" i="63"/>
  <c r="A9" i="63"/>
  <c r="A5" i="63"/>
  <c r="A28" i="63"/>
  <c r="A24" i="63"/>
  <c r="A20" i="63"/>
  <c r="A16" i="63"/>
  <c r="A12" i="63"/>
  <c r="A8" i="63"/>
  <c r="A4" i="63"/>
  <c r="A27" i="63"/>
  <c r="A23" i="63"/>
  <c r="A19" i="63"/>
  <c r="A15" i="63"/>
  <c r="A11" i="63"/>
  <c r="A7" i="63"/>
  <c r="A3" i="63"/>
  <c r="G57" i="63"/>
  <c r="F57" i="63"/>
  <c r="F52" i="63"/>
  <c r="G52" i="63"/>
  <c r="F54" i="63"/>
  <c r="G54" i="63"/>
  <c r="F56" i="63"/>
  <c r="G56" i="63"/>
  <c r="G53" i="63"/>
  <c r="F53" i="63"/>
  <c r="G55" i="63"/>
  <c r="F55" i="63"/>
  <c r="A176" i="54"/>
  <c r="A185" i="54"/>
  <c r="A184" i="54"/>
  <c r="A183" i="54"/>
  <c r="A182" i="54"/>
  <c r="A181" i="54"/>
  <c r="A180" i="54"/>
  <c r="A179" i="54"/>
  <c r="B178" i="54"/>
  <c r="A178" i="54"/>
  <c r="B177" i="54"/>
  <c r="A177" i="54"/>
  <c r="A175" i="54"/>
  <c r="A174" i="54"/>
  <c r="B173" i="54"/>
  <c r="A173" i="54"/>
  <c r="A172" i="54"/>
  <c r="A171" i="54"/>
  <c r="B170" i="54"/>
  <c r="A170" i="54"/>
  <c r="A169" i="54"/>
  <c r="A168" i="54"/>
  <c r="B167" i="54"/>
  <c r="A167" i="54"/>
  <c r="B166" i="54"/>
  <c r="A166" i="54"/>
  <c r="B165" i="54"/>
  <c r="A165" i="54"/>
  <c r="B164" i="54"/>
  <c r="A164" i="54"/>
  <c r="A163" i="54"/>
  <c r="A162" i="54"/>
  <c r="B161" i="54"/>
  <c r="A161" i="54"/>
  <c r="B160" i="54"/>
  <c r="A160" i="54"/>
  <c r="A159" i="54"/>
  <c r="A158" i="54"/>
  <c r="B157" i="54"/>
  <c r="A157" i="54"/>
  <c r="A156" i="54"/>
  <c r="A155" i="54"/>
  <c r="A154" i="54"/>
  <c r="A153" i="54"/>
  <c r="B152" i="54"/>
  <c r="A152" i="54"/>
  <c r="B151" i="54"/>
  <c r="A151" i="54"/>
  <c r="B150" i="54"/>
  <c r="A150" i="54"/>
  <c r="B149" i="54"/>
  <c r="A149" i="54"/>
  <c r="B148" i="54"/>
  <c r="A148" i="54"/>
  <c r="B147" i="54"/>
  <c r="A147" i="54"/>
  <c r="B146" i="54"/>
  <c r="B145" i="54"/>
  <c r="A145" i="54"/>
  <c r="B144" i="54"/>
  <c r="A144" i="54"/>
  <c r="B143" i="54"/>
  <c r="A143" i="54"/>
  <c r="B142" i="54"/>
  <c r="A142" i="54"/>
  <c r="B141" i="54"/>
  <c r="A141" i="54"/>
  <c r="B140" i="54"/>
  <c r="A140" i="54"/>
  <c r="B139" i="54"/>
  <c r="A139" i="54"/>
  <c r="B138" i="54"/>
  <c r="A138" i="54"/>
  <c r="A137" i="54"/>
  <c r="B136" i="54"/>
  <c r="A136" i="54"/>
  <c r="A135" i="54"/>
  <c r="B134" i="54"/>
  <c r="B133" i="54"/>
  <c r="A133" i="54"/>
  <c r="A132" i="54"/>
  <c r="B131" i="54"/>
  <c r="A131" i="54"/>
  <c r="A130" i="54"/>
  <c r="B129" i="54"/>
  <c r="A129" i="54"/>
  <c r="B128" i="54"/>
  <c r="A128" i="54"/>
  <c r="A127" i="54"/>
  <c r="A126" i="54"/>
  <c r="B125" i="54"/>
  <c r="A125" i="54"/>
  <c r="B124" i="54"/>
  <c r="A124" i="54"/>
  <c r="A123" i="54"/>
  <c r="B122" i="54"/>
  <c r="A122" i="54"/>
  <c r="B121" i="54"/>
  <c r="A121" i="54"/>
  <c r="B120" i="54"/>
  <c r="A120" i="54"/>
  <c r="B119" i="54"/>
  <c r="A119" i="54"/>
  <c r="A118" i="54"/>
  <c r="B117" i="54"/>
  <c r="A117" i="54"/>
  <c r="A116" i="54"/>
  <c r="B115" i="54"/>
  <c r="A115" i="54"/>
  <c r="B114" i="54"/>
  <c r="A114" i="54"/>
  <c r="A113" i="54"/>
  <c r="A112" i="54"/>
  <c r="B111" i="54"/>
  <c r="A111" i="54"/>
  <c r="A110" i="54"/>
  <c r="A109" i="54"/>
  <c r="A108" i="54"/>
  <c r="B107" i="54"/>
  <c r="A107" i="54"/>
  <c r="A106" i="54"/>
  <c r="A105" i="54"/>
  <c r="B104" i="54"/>
  <c r="A104" i="54"/>
  <c r="A103" i="54"/>
  <c r="B102" i="54"/>
  <c r="A102" i="54"/>
  <c r="B101" i="54"/>
  <c r="A101" i="54"/>
  <c r="B100" i="54"/>
  <c r="A100" i="54"/>
  <c r="B99" i="54"/>
  <c r="A99" i="54"/>
  <c r="B98" i="54"/>
  <c r="A98" i="54"/>
  <c r="B97" i="54"/>
  <c r="A97" i="54"/>
  <c r="A96" i="54"/>
  <c r="A95" i="54"/>
  <c r="A94" i="54"/>
  <c r="A93" i="54"/>
  <c r="A92" i="54"/>
  <c r="A91" i="54"/>
  <c r="D90" i="54"/>
  <c r="C90" i="54"/>
  <c r="B90" i="54"/>
  <c r="B153" i="53"/>
  <c r="L153" i="53"/>
  <c r="K153" i="53"/>
  <c r="J153" i="53"/>
  <c r="I153" i="53"/>
  <c r="G153" i="53"/>
  <c r="F153" i="53"/>
  <c r="E153" i="53"/>
  <c r="D153" i="53"/>
  <c r="C153" i="53"/>
  <c r="H153" i="53"/>
  <c r="AG151" i="53"/>
  <c r="AB151" i="53"/>
  <c r="W151" i="53"/>
  <c r="Q151" i="53"/>
  <c r="Q153" i="53" s="1"/>
  <c r="P151" i="53"/>
  <c r="P153" i="53" s="1"/>
  <c r="O151" i="53"/>
  <c r="T151" i="53" s="1"/>
  <c r="T153" i="53" s="1"/>
  <c r="N151" i="53"/>
  <c r="S151" i="53" s="1"/>
  <c r="S153" i="53" s="1"/>
  <c r="M151" i="53"/>
  <c r="M153" i="53" s="1"/>
  <c r="H163" i="54"/>
  <c r="H157" i="54"/>
  <c r="H139" i="54"/>
  <c r="AA154" i="53"/>
  <c r="H156" i="54"/>
  <c r="H146" i="54"/>
  <c r="H151" i="54"/>
  <c r="Y154" i="53"/>
  <c r="Y158" i="53"/>
  <c r="H113" i="54"/>
  <c r="Y156" i="53"/>
  <c r="H94" i="54"/>
  <c r="X156" i="53"/>
  <c r="H128" i="54"/>
  <c r="D216" i="52" a="1"/>
  <c r="H162" i="54"/>
  <c r="H122" i="54"/>
  <c r="H145" i="53"/>
  <c r="H111" i="54"/>
  <c r="Z158" i="53"/>
  <c r="AA155" i="53"/>
  <c r="H120" i="54"/>
  <c r="H148" i="53"/>
  <c r="H119" i="54"/>
  <c r="H140" i="54"/>
  <c r="H134" i="54"/>
  <c r="H145" i="54"/>
  <c r="H171" i="54"/>
  <c r="H104" i="54"/>
  <c r="Z155" i="53"/>
  <c r="AA161" i="53"/>
  <c r="H115" i="54"/>
  <c r="D52" i="63" a="1"/>
  <c r="H154" i="54"/>
  <c r="H149" i="54"/>
  <c r="H179" i="54"/>
  <c r="H155" i="54"/>
  <c r="H182" i="54"/>
  <c r="H176" i="54"/>
  <c r="H93" i="54"/>
  <c r="Z154" i="53"/>
  <c r="H185" i="54"/>
  <c r="W159" i="53"/>
  <c r="H141" i="53"/>
  <c r="W157" i="53"/>
  <c r="H105" i="54"/>
  <c r="AA156" i="53"/>
  <c r="H129" i="54"/>
  <c r="H102" i="54"/>
  <c r="Z159" i="53"/>
  <c r="H108" i="54"/>
  <c r="H132" i="54"/>
  <c r="H110" i="54"/>
  <c r="H168" i="54"/>
  <c r="H140" i="53"/>
  <c r="Y161" i="53"/>
  <c r="H91" i="54"/>
  <c r="H180" i="54"/>
  <c r="H172" i="54"/>
  <c r="H147" i="53"/>
  <c r="H143" i="54"/>
  <c r="H96" i="54"/>
  <c r="H92" i="54"/>
  <c r="H142" i="54"/>
  <c r="H159" i="54"/>
  <c r="H146" i="53"/>
  <c r="X157" i="53"/>
  <c r="Z156" i="53"/>
  <c r="X159" i="53"/>
  <c r="H165" i="54"/>
  <c r="H135" i="54"/>
  <c r="H95" i="54"/>
  <c r="H149" i="53"/>
  <c r="H121" i="54"/>
  <c r="AA160" i="53"/>
  <c r="H153" i="54"/>
  <c r="H167" i="54"/>
  <c r="H126" i="54"/>
  <c r="H161" i="54"/>
  <c r="H100" i="54"/>
  <c r="H136" i="54"/>
  <c r="Y157" i="53"/>
  <c r="H175" i="54"/>
  <c r="W155" i="53"/>
  <c r="H147" i="54"/>
  <c r="H148" i="54"/>
  <c r="H160" i="54"/>
  <c r="H125" i="54"/>
  <c r="H150" i="53"/>
  <c r="H158" i="54"/>
  <c r="H106" i="54"/>
  <c r="W160" i="53"/>
  <c r="H181" i="54"/>
  <c r="H142" i="53"/>
  <c r="H114" i="54"/>
  <c r="H109" i="54"/>
  <c r="Z161" i="53"/>
  <c r="AA157" i="53"/>
  <c r="H137" i="54"/>
  <c r="W154" i="53"/>
  <c r="H133" i="54"/>
  <c r="H123" i="54"/>
  <c r="H174" i="54"/>
  <c r="H116" i="54"/>
  <c r="Z157" i="53"/>
  <c r="AA159" i="53"/>
  <c r="W161" i="53"/>
  <c r="Z160" i="53"/>
  <c r="H169" i="54"/>
  <c r="X160" i="53"/>
  <c r="H164" i="54"/>
  <c r="H144" i="54"/>
  <c r="H107" i="54"/>
  <c r="H117" i="54"/>
  <c r="H112" i="54"/>
  <c r="X161" i="53"/>
  <c r="H178" i="54"/>
  <c r="H99" i="54"/>
  <c r="C207" i="52" a="1"/>
  <c r="H173" i="54"/>
  <c r="H131" i="54"/>
  <c r="H124" i="54"/>
  <c r="H138" i="54"/>
  <c r="H170" i="54"/>
  <c r="H139" i="53"/>
  <c r="H130" i="54"/>
  <c r="H141" i="54"/>
  <c r="H177" i="54"/>
  <c r="Y160" i="53"/>
  <c r="H152" i="54"/>
  <c r="H118" i="54"/>
  <c r="H144" i="53"/>
  <c r="H103" i="54"/>
  <c r="W156" i="53"/>
  <c r="H138" i="53"/>
  <c r="H150" i="54"/>
  <c r="H98" i="54"/>
  <c r="C59" i="62" a="1"/>
  <c r="X155" i="53"/>
  <c r="H127" i="54"/>
  <c r="H183" i="54"/>
  <c r="H184" i="54"/>
  <c r="H101" i="54"/>
  <c r="C58" i="63" a="1"/>
  <c r="W158" i="53"/>
  <c r="X154" i="53"/>
  <c r="AA158" i="53"/>
  <c r="H166" i="54"/>
  <c r="H143" i="53"/>
  <c r="Y159" i="53"/>
  <c r="X158" i="53"/>
  <c r="H97" i="54"/>
  <c r="Y155" i="53"/>
  <c r="D60" i="62" a="1"/>
  <c r="D59" i="63" a="1"/>
  <c r="D52" i="62" a="1"/>
  <c r="X16" i="67" l="1"/>
  <c r="X12" i="67"/>
  <c r="X13" i="67"/>
  <c r="X17" i="67"/>
  <c r="X15" i="67"/>
  <c r="X14" i="67"/>
  <c r="X10" i="67"/>
  <c r="X11" i="67"/>
  <c r="X21" i="67"/>
  <c r="X19" i="67"/>
  <c r="X22" i="67"/>
  <c r="X20" i="67"/>
  <c r="X29" i="67"/>
  <c r="X26" i="67"/>
  <c r="X24" i="67"/>
  <c r="X27" i="67"/>
  <c r="X31" i="67"/>
  <c r="X25" i="67"/>
  <c r="X30" i="67"/>
  <c r="AI24" i="67"/>
  <c r="AH24" i="67"/>
  <c r="AG24" i="67"/>
  <c r="X6" i="67"/>
  <c r="X4" i="67"/>
  <c r="X5" i="67"/>
  <c r="X7" i="67"/>
  <c r="X8" i="67"/>
  <c r="O20" i="66"/>
  <c r="W19" i="66"/>
  <c r="C59" i="62"/>
  <c r="D216" i="52"/>
  <c r="C207" i="52"/>
  <c r="D60" i="62"/>
  <c r="D52" i="62"/>
  <c r="D52" i="63"/>
  <c r="C58" i="63"/>
  <c r="D59" i="63"/>
  <c r="E97" i="54"/>
  <c r="E99" i="54"/>
  <c r="E101" i="54"/>
  <c r="E177" i="54"/>
  <c r="E161" i="54"/>
  <c r="E178" i="54"/>
  <c r="E165" i="54"/>
  <c r="E167" i="54"/>
  <c r="E100" i="54"/>
  <c r="E160" i="54"/>
  <c r="E164" i="54"/>
  <c r="E173" i="54"/>
  <c r="E107" i="54"/>
  <c r="E111" i="54"/>
  <c r="E115" i="54"/>
  <c r="E117" i="54"/>
  <c r="E120" i="54"/>
  <c r="E122" i="54"/>
  <c r="E124" i="54"/>
  <c r="E128" i="54"/>
  <c r="E136" i="54"/>
  <c r="E138" i="54"/>
  <c r="B10" i="54" s="1"/>
  <c r="E140" i="54"/>
  <c r="B5" i="54" s="1"/>
  <c r="E142" i="54"/>
  <c r="E144" i="54"/>
  <c r="E147" i="54"/>
  <c r="B44" i="54" s="1"/>
  <c r="E149" i="54"/>
  <c r="B45" i="54" s="1"/>
  <c r="E151" i="54"/>
  <c r="E157" i="54"/>
  <c r="E170" i="54"/>
  <c r="E104" i="54"/>
  <c r="E114" i="54"/>
  <c r="E119" i="54"/>
  <c r="E121" i="54"/>
  <c r="E125" i="54"/>
  <c r="E129" i="54"/>
  <c r="E131" i="54"/>
  <c r="E133" i="54"/>
  <c r="E139" i="54"/>
  <c r="E141" i="54"/>
  <c r="B3" i="54" s="1"/>
  <c r="E143" i="54"/>
  <c r="B72" i="54" s="1"/>
  <c r="E145" i="54"/>
  <c r="E148" i="54"/>
  <c r="B47" i="54" s="1"/>
  <c r="E150" i="54"/>
  <c r="E152" i="54"/>
  <c r="E166" i="54"/>
  <c r="F120" i="54"/>
  <c r="G120" i="54"/>
  <c r="F122" i="54"/>
  <c r="G122" i="54"/>
  <c r="F124" i="54"/>
  <c r="G124" i="54"/>
  <c r="F126" i="54"/>
  <c r="G126" i="54"/>
  <c r="F128" i="54"/>
  <c r="G128" i="54"/>
  <c r="F130" i="54"/>
  <c r="G130" i="54"/>
  <c r="F132" i="54"/>
  <c r="G132" i="54"/>
  <c r="F134" i="54"/>
  <c r="G134" i="54"/>
  <c r="F136" i="54"/>
  <c r="G136" i="54"/>
  <c r="F138" i="54"/>
  <c r="G138" i="54"/>
  <c r="F140" i="54"/>
  <c r="G140" i="54"/>
  <c r="F142" i="54"/>
  <c r="G142" i="54"/>
  <c r="F144" i="54"/>
  <c r="G144" i="54"/>
  <c r="F146" i="54"/>
  <c r="G146" i="54"/>
  <c r="F147" i="54"/>
  <c r="G147" i="54"/>
  <c r="F149" i="54"/>
  <c r="G149" i="54"/>
  <c r="F151" i="54"/>
  <c r="G151" i="54"/>
  <c r="F153" i="54"/>
  <c r="G153" i="54"/>
  <c r="F155" i="54"/>
  <c r="G155" i="54"/>
  <c r="G119" i="54"/>
  <c r="F119" i="54"/>
  <c r="G121" i="54"/>
  <c r="F121" i="54"/>
  <c r="G123" i="54"/>
  <c r="F123" i="54"/>
  <c r="G125" i="54"/>
  <c r="F125" i="54"/>
  <c r="G127" i="54"/>
  <c r="F127" i="54"/>
  <c r="G129" i="54"/>
  <c r="F129" i="54"/>
  <c r="G131" i="54"/>
  <c r="F131" i="54"/>
  <c r="G133" i="54"/>
  <c r="F133" i="54"/>
  <c r="G135" i="54"/>
  <c r="F135" i="54"/>
  <c r="G137" i="54"/>
  <c r="F137" i="54"/>
  <c r="G139" i="54"/>
  <c r="F139" i="54"/>
  <c r="G141" i="54"/>
  <c r="F141" i="54"/>
  <c r="G143" i="54"/>
  <c r="F143" i="54"/>
  <c r="G145" i="54"/>
  <c r="F145" i="54"/>
  <c r="G148" i="54"/>
  <c r="F148" i="54"/>
  <c r="G150" i="54"/>
  <c r="F150" i="54"/>
  <c r="G152" i="54"/>
  <c r="F152" i="54"/>
  <c r="G154" i="54"/>
  <c r="F154" i="54"/>
  <c r="G156" i="54"/>
  <c r="F156" i="54"/>
  <c r="F158" i="54"/>
  <c r="G158" i="54"/>
  <c r="F160" i="54"/>
  <c r="G160" i="54"/>
  <c r="F162" i="54"/>
  <c r="G162" i="54"/>
  <c r="F164" i="54"/>
  <c r="G164" i="54"/>
  <c r="F166" i="54"/>
  <c r="G166" i="54"/>
  <c r="F168" i="54"/>
  <c r="G168" i="54"/>
  <c r="F170" i="54"/>
  <c r="G170" i="54"/>
  <c r="F172" i="54"/>
  <c r="G172" i="54"/>
  <c r="F174" i="54"/>
  <c r="G174" i="54"/>
  <c r="F176" i="54"/>
  <c r="G176" i="54"/>
  <c r="G157" i="54"/>
  <c r="F157" i="54"/>
  <c r="G159" i="54"/>
  <c r="F159" i="54"/>
  <c r="G161" i="54"/>
  <c r="F161" i="54"/>
  <c r="G163" i="54"/>
  <c r="F163" i="54"/>
  <c r="G165" i="54"/>
  <c r="F165" i="54"/>
  <c r="G167" i="54"/>
  <c r="F167" i="54"/>
  <c r="G169" i="54"/>
  <c r="F169" i="54"/>
  <c r="G171" i="54"/>
  <c r="F171" i="54"/>
  <c r="G173" i="54"/>
  <c r="F173" i="54"/>
  <c r="G175" i="54"/>
  <c r="F175" i="54"/>
  <c r="F177" i="54"/>
  <c r="G177" i="54"/>
  <c r="F179" i="54"/>
  <c r="G179" i="54"/>
  <c r="F181" i="54"/>
  <c r="G181" i="54"/>
  <c r="F183" i="54"/>
  <c r="G183" i="54"/>
  <c r="F185" i="54"/>
  <c r="G185" i="54"/>
  <c r="G178" i="54"/>
  <c r="F178" i="54"/>
  <c r="G180" i="54"/>
  <c r="F180" i="54"/>
  <c r="G182" i="54"/>
  <c r="F182" i="54"/>
  <c r="G184" i="54"/>
  <c r="F184" i="54"/>
  <c r="E102" i="54"/>
  <c r="E98" i="54"/>
  <c r="F105" i="54"/>
  <c r="G105" i="54"/>
  <c r="F107" i="54"/>
  <c r="G107" i="54"/>
  <c r="F109" i="54"/>
  <c r="G109" i="54"/>
  <c r="F111" i="54"/>
  <c r="G111" i="54"/>
  <c r="F113" i="54"/>
  <c r="G113" i="54"/>
  <c r="F115" i="54"/>
  <c r="G115" i="54"/>
  <c r="F117" i="54"/>
  <c r="G117" i="54"/>
  <c r="F92" i="54"/>
  <c r="G92" i="54"/>
  <c r="F94" i="54"/>
  <c r="G94" i="54"/>
  <c r="F96" i="54"/>
  <c r="G96" i="54"/>
  <c r="F100" i="54"/>
  <c r="G100" i="54"/>
  <c r="F98" i="54"/>
  <c r="G98" i="54"/>
  <c r="F102" i="54"/>
  <c r="G102" i="54"/>
  <c r="G91" i="54"/>
  <c r="F91" i="54"/>
  <c r="G93" i="54"/>
  <c r="F93" i="54"/>
  <c r="G95" i="54"/>
  <c r="F95" i="54"/>
  <c r="G97" i="54"/>
  <c r="F97" i="54"/>
  <c r="F99" i="54"/>
  <c r="G99" i="54"/>
  <c r="G101" i="54"/>
  <c r="F101" i="54"/>
  <c r="F103" i="54"/>
  <c r="G103" i="54"/>
  <c r="F104" i="54"/>
  <c r="G104" i="54"/>
  <c r="F106" i="54"/>
  <c r="G106" i="54"/>
  <c r="F108" i="54"/>
  <c r="G108" i="54"/>
  <c r="F110" i="54"/>
  <c r="G110" i="54"/>
  <c r="F112" i="54"/>
  <c r="G112" i="54"/>
  <c r="F114" i="54"/>
  <c r="G114" i="54"/>
  <c r="F116" i="54"/>
  <c r="G116" i="54"/>
  <c r="F118" i="54"/>
  <c r="G118" i="54"/>
  <c r="U151" i="53"/>
  <c r="U153" i="53" s="1"/>
  <c r="N153" i="53"/>
  <c r="R151" i="53"/>
  <c r="R153" i="53" s="1"/>
  <c r="V151" i="53"/>
  <c r="V153" i="53" s="1"/>
  <c r="O153" i="53"/>
  <c r="AH155" i="53"/>
  <c r="AC155" i="53"/>
  <c r="AI156" i="53"/>
  <c r="AD156" i="53"/>
  <c r="AK158" i="53"/>
  <c r="AF158" i="53"/>
  <c r="AI155" i="53"/>
  <c r="AD155" i="53"/>
  <c r="AJ156" i="53"/>
  <c r="AE156" i="53"/>
  <c r="AG157" i="53"/>
  <c r="AB157" i="53"/>
  <c r="AK157" i="53"/>
  <c r="AF157" i="53"/>
  <c r="AH158" i="53"/>
  <c r="AC158" i="53"/>
  <c r="AI159" i="53"/>
  <c r="AD159" i="53"/>
  <c r="AJ160" i="53"/>
  <c r="AE160" i="53"/>
  <c r="AG161" i="53"/>
  <c r="AB161" i="53"/>
  <c r="AK161" i="53"/>
  <c r="AF161" i="53"/>
  <c r="AJ157" i="53"/>
  <c r="AE157" i="53"/>
  <c r="AJ161" i="53"/>
  <c r="AE161" i="53"/>
  <c r="AE155" i="53"/>
  <c r="AJ155" i="53"/>
  <c r="AB156" i="53"/>
  <c r="AG156" i="53"/>
  <c r="AF156" i="53"/>
  <c r="AK156" i="53"/>
  <c r="AC157" i="53"/>
  <c r="AH157" i="53"/>
  <c r="AD158" i="53"/>
  <c r="AI158" i="53"/>
  <c r="AE159" i="53"/>
  <c r="AJ159" i="53"/>
  <c r="AB160" i="53"/>
  <c r="AG160" i="53"/>
  <c r="AF160" i="53"/>
  <c r="AK160" i="53"/>
  <c r="AC161" i="53"/>
  <c r="AH161" i="53"/>
  <c r="AG158" i="53"/>
  <c r="AB158" i="53"/>
  <c r="AH159" i="53"/>
  <c r="AC159" i="53"/>
  <c r="AI160" i="53"/>
  <c r="AD160" i="53"/>
  <c r="AB155" i="53"/>
  <c r="AG155" i="53"/>
  <c r="AF155" i="53"/>
  <c r="AK155" i="53"/>
  <c r="AC156" i="53"/>
  <c r="AH156" i="53"/>
  <c r="AD157" i="53"/>
  <c r="AI157" i="53"/>
  <c r="AE158" i="53"/>
  <c r="AJ158" i="53"/>
  <c r="AG159" i="53"/>
  <c r="AB159" i="53"/>
  <c r="AF159" i="53"/>
  <c r="AK159" i="53"/>
  <c r="AH160" i="53"/>
  <c r="AC160" i="53"/>
  <c r="AD161" i="53"/>
  <c r="AI161" i="53"/>
  <c r="AK154" i="53"/>
  <c r="AJ154" i="53"/>
  <c r="AI154" i="53"/>
  <c r="AH154" i="53"/>
  <c r="AG154" i="53"/>
  <c r="AB154" i="53"/>
  <c r="AF154" i="53"/>
  <c r="AE154" i="53"/>
  <c r="AD154" i="53"/>
  <c r="AC154" i="53"/>
  <c r="F150" i="53"/>
  <c r="G150" i="53"/>
  <c r="G149" i="53"/>
  <c r="F149" i="53"/>
  <c r="G148" i="53"/>
  <c r="F148" i="53"/>
  <c r="G147" i="53"/>
  <c r="F147" i="53"/>
  <c r="F146" i="53"/>
  <c r="G146" i="53"/>
  <c r="G145" i="53"/>
  <c r="F145" i="53"/>
  <c r="F144" i="53"/>
  <c r="G144" i="53"/>
  <c r="F143" i="53"/>
  <c r="G143" i="53"/>
  <c r="G142" i="53"/>
  <c r="F142" i="53"/>
  <c r="G141" i="53"/>
  <c r="F141" i="53"/>
  <c r="G140" i="53"/>
  <c r="F140" i="53"/>
  <c r="G139" i="53"/>
  <c r="F139" i="53"/>
  <c r="G138" i="53"/>
  <c r="F138" i="53"/>
  <c r="D195" i="52"/>
  <c r="C195" i="52"/>
  <c r="B195" i="52"/>
  <c r="D194" i="52"/>
  <c r="C194" i="52"/>
  <c r="B194" i="52"/>
  <c r="D193" i="52"/>
  <c r="C193" i="52"/>
  <c r="B193" i="52"/>
  <c r="D192" i="52"/>
  <c r="C192" i="52"/>
  <c r="B192" i="52"/>
  <c r="D191" i="52"/>
  <c r="C191" i="52"/>
  <c r="B191" i="52"/>
  <c r="D190" i="52"/>
  <c r="C190" i="52"/>
  <c r="B190" i="52"/>
  <c r="D189" i="52"/>
  <c r="C189" i="52"/>
  <c r="B189" i="52"/>
  <c r="D59" i="62" a="1"/>
  <c r="D219" i="52" a="1"/>
  <c r="H137" i="53"/>
  <c r="M160" i="53" a="1"/>
  <c r="C54" i="63" a="1"/>
  <c r="C55" i="63" a="1"/>
  <c r="D57" i="63" a="1"/>
  <c r="D220" i="52" a="1"/>
  <c r="Q154" i="53" a="1"/>
  <c r="D210" i="52" a="1"/>
  <c r="D209" i="52" a="1"/>
  <c r="C53" i="63" a="1"/>
  <c r="D224" i="52" a="1"/>
  <c r="C210" i="52" a="1"/>
  <c r="D55" i="63" a="1"/>
  <c r="D56" i="62" a="1"/>
  <c r="C56" i="63" a="1"/>
  <c r="D226" i="52" a="1"/>
  <c r="V156" i="53" a="1"/>
  <c r="U161" i="53" a="1"/>
  <c r="D54" i="62" a="1"/>
  <c r="D56" i="63" a="1"/>
  <c r="T154" i="53" a="1"/>
  <c r="H136" i="53"/>
  <c r="C216" i="52" a="1"/>
  <c r="D54" i="63" a="1"/>
  <c r="D53" i="62" a="1"/>
  <c r="C220" i="52" a="1"/>
  <c r="D58" i="63" a="1"/>
  <c r="C53" i="62" a="1"/>
  <c r="C209" i="52" a="1"/>
  <c r="C60" i="62" a="1"/>
  <c r="C219" i="52" a="1"/>
  <c r="C57" i="63" a="1"/>
  <c r="C52" i="62" a="1"/>
  <c r="U160" i="53" a="1"/>
  <c r="R157" i="53" a="1"/>
  <c r="C58" i="62" a="1"/>
  <c r="C56" i="62" a="1"/>
  <c r="C229" i="52" a="1"/>
  <c r="C52" i="63" a="1"/>
  <c r="D235" i="52" a="1"/>
  <c r="C224" i="52" a="1"/>
  <c r="S160" i="53" a="1"/>
  <c r="V159" i="53" a="1"/>
  <c r="C57" i="62" a="1"/>
  <c r="U158" i="53" a="1"/>
  <c r="D58" i="62" a="1"/>
  <c r="C232" i="52" a="1"/>
  <c r="D229" i="52" a="1"/>
  <c r="T160" i="53" a="1"/>
  <c r="C55" i="62" a="1"/>
  <c r="C54" i="62" a="1"/>
  <c r="C59" i="63" a="1"/>
  <c r="D55" i="62" a="1"/>
  <c r="D57" i="62" a="1"/>
  <c r="D53" i="63" a="1"/>
  <c r="O156" i="53" a="1"/>
  <c r="U155" i="53" a="1"/>
  <c r="R155" i="53" a="1"/>
  <c r="O155" i="53" a="1"/>
  <c r="S156" i="53" a="1"/>
  <c r="R158" i="53" a="1"/>
  <c r="T158" i="53" a="1"/>
  <c r="N154" i="53" a="1"/>
  <c r="O161" i="53" a="1"/>
  <c r="R159" i="53" a="1"/>
  <c r="S161" i="53" a="1"/>
  <c r="V161" i="53" a="1"/>
  <c r="D91" i="54" a="1"/>
  <c r="N158" i="53" a="1"/>
  <c r="C52" i="62" l="1"/>
  <c r="B181" i="69"/>
  <c r="B181" i="68"/>
  <c r="B185" i="69"/>
  <c r="B185" i="68"/>
  <c r="B180" i="68"/>
  <c r="B180" i="69"/>
  <c r="B184" i="68"/>
  <c r="B184" i="69"/>
  <c r="B183" i="69"/>
  <c r="B183" i="68"/>
  <c r="B179" i="69"/>
  <c r="B179" i="68"/>
  <c r="B182" i="68"/>
  <c r="B182" i="69"/>
  <c r="O21" i="66"/>
  <c r="W20" i="66"/>
  <c r="A9" i="54"/>
  <c r="B6" i="54"/>
  <c r="B8" i="54" s="1"/>
  <c r="C60" i="62"/>
  <c r="D59" i="62"/>
  <c r="C210" i="52"/>
  <c r="D210" i="52"/>
  <c r="D209" i="52"/>
  <c r="C57" i="62"/>
  <c r="D56" i="62"/>
  <c r="C216" i="52"/>
  <c r="D57" i="62"/>
  <c r="C209" i="52"/>
  <c r="D54" i="62"/>
  <c r="C56" i="62"/>
  <c r="C53" i="62"/>
  <c r="C55" i="62"/>
  <c r="C58" i="62"/>
  <c r="D58" i="63"/>
  <c r="C54" i="62"/>
  <c r="D53" i="62"/>
  <c r="D55" i="62"/>
  <c r="D58" i="62"/>
  <c r="C59" i="63"/>
  <c r="C219" i="52"/>
  <c r="C220" i="52"/>
  <c r="D235" i="52"/>
  <c r="D229" i="52"/>
  <c r="C232" i="52"/>
  <c r="C224" i="52"/>
  <c r="C229" i="52"/>
  <c r="D226" i="52"/>
  <c r="D224" i="52"/>
  <c r="D220" i="52"/>
  <c r="D219" i="52"/>
  <c r="R159" i="53"/>
  <c r="R158" i="53"/>
  <c r="V161" i="53"/>
  <c r="S160" i="53"/>
  <c r="T160" i="53"/>
  <c r="U161" i="53"/>
  <c r="U160" i="53"/>
  <c r="R157" i="53"/>
  <c r="T154" i="53"/>
  <c r="V159" i="53"/>
  <c r="U158" i="53"/>
  <c r="S156" i="53"/>
  <c r="R155" i="53"/>
  <c r="S161" i="53"/>
  <c r="T158" i="53"/>
  <c r="V156" i="53"/>
  <c r="U155" i="53"/>
  <c r="D57" i="63"/>
  <c r="D54" i="63"/>
  <c r="D55" i="63"/>
  <c r="C54" i="63"/>
  <c r="D53" i="63"/>
  <c r="C56" i="63"/>
  <c r="C55" i="63"/>
  <c r="C53" i="63"/>
  <c r="D56" i="63"/>
  <c r="C57" i="63"/>
  <c r="C52" i="63"/>
  <c r="D91" i="54"/>
  <c r="O155" i="53"/>
  <c r="Q154" i="53"/>
  <c r="O161" i="53"/>
  <c r="M160" i="53"/>
  <c r="N154" i="53"/>
  <c r="N158" i="53"/>
  <c r="O156" i="53"/>
  <c r="B182" i="54"/>
  <c r="E182" i="54" s="1"/>
  <c r="B184" i="54"/>
  <c r="E184" i="54" s="1"/>
  <c r="B181" i="54"/>
  <c r="E181" i="54" s="1"/>
  <c r="B185" i="54"/>
  <c r="E185" i="54" s="1"/>
  <c r="B180" i="54"/>
  <c r="E180" i="54" s="1"/>
  <c r="B179" i="54"/>
  <c r="E179" i="54" s="1"/>
  <c r="B183" i="54"/>
  <c r="E183" i="54" s="1"/>
  <c r="B16" i="54"/>
  <c r="B49" i="54"/>
  <c r="B14" i="54"/>
  <c r="S10" i="54"/>
  <c r="S9" i="54"/>
  <c r="S12" i="54"/>
  <c r="S8" i="54"/>
  <c r="S11" i="54"/>
  <c r="S7" i="54"/>
  <c r="G137" i="53"/>
  <c r="F137" i="53"/>
  <c r="G136" i="53"/>
  <c r="F136" i="53"/>
  <c r="D163" i="54" a="1"/>
  <c r="C118" i="54" a="1"/>
  <c r="C141" i="54" a="1"/>
  <c r="D122" i="54" a="1"/>
  <c r="D110" i="54" a="1"/>
  <c r="C159" i="54" a="1"/>
  <c r="V155" i="53" a="1"/>
  <c r="C98" i="54" a="1"/>
  <c r="C97" i="54" a="1"/>
  <c r="D130" i="54" a="1"/>
  <c r="D157" i="54" a="1"/>
  <c r="C106" i="54" a="1"/>
  <c r="P157" i="53" a="1"/>
  <c r="P160" i="53" a="1"/>
  <c r="D142" i="53" a="1"/>
  <c r="D232" i="52" a="1"/>
  <c r="D92" i="54" a="1"/>
  <c r="D156" i="54" a="1"/>
  <c r="C148" i="53" a="1"/>
  <c r="R154" i="53" a="1"/>
  <c r="C132" i="54" a="1"/>
  <c r="P154" i="53" a="1"/>
  <c r="C121" i="54" a="1"/>
  <c r="N155" i="53" a="1"/>
  <c r="D141" i="53" a="1"/>
  <c r="D131" i="54" a="1"/>
  <c r="U157" i="53" a="1"/>
  <c r="P158" i="53" a="1"/>
  <c r="S157" i="53" a="1"/>
  <c r="C91" i="54" a="1"/>
  <c r="D127" i="54" a="1"/>
  <c r="C225" i="52" a="1"/>
  <c r="C234" i="52" a="1"/>
  <c r="C92" i="54" a="1"/>
  <c r="T157" i="53" a="1"/>
  <c r="C112" i="54" a="1"/>
  <c r="D181" i="54" a="1"/>
  <c r="P155" i="53" a="1"/>
  <c r="C163" i="54" a="1"/>
  <c r="C146" i="54" a="1"/>
  <c r="C125" i="54" a="1"/>
  <c r="N157" i="53" a="1"/>
  <c r="C130" i="54" a="1"/>
  <c r="C99" i="54" a="1"/>
  <c r="D118" i="54" a="1"/>
  <c r="D150" i="53" a="1"/>
  <c r="D144" i="54" a="1"/>
  <c r="D115" i="54" a="1"/>
  <c r="M159" i="53" a="1"/>
  <c r="D142" i="54" a="1"/>
  <c r="D146" i="53" a="1"/>
  <c r="M157" i="53" a="1"/>
  <c r="V158" i="53" a="1"/>
  <c r="Q161" i="53" a="1"/>
  <c r="C142" i="54" a="1"/>
  <c r="C152" i="54" a="1"/>
  <c r="D114" i="54" a="1"/>
  <c r="D231" i="52" a="1"/>
  <c r="O154" i="53" a="1"/>
  <c r="C184" i="54" a="1"/>
  <c r="D134" i="54" a="1"/>
  <c r="U156" i="53" a="1"/>
  <c r="D137" i="54" a="1"/>
  <c r="C96" i="54" a="1"/>
  <c r="D109" i="54" a="1"/>
  <c r="D177" i="54" a="1"/>
  <c r="C150" i="54" a="1"/>
  <c r="C127" i="54" a="1"/>
  <c r="C147" i="53" a="1"/>
  <c r="D99" i="54" a="1"/>
  <c r="C150" i="53" a="1"/>
  <c r="D173" i="54" a="1"/>
  <c r="V154" i="53" a="1"/>
  <c r="C140" i="54" a="1"/>
  <c r="D139" i="53" a="1"/>
  <c r="D225" i="52" a="1"/>
  <c r="N159" i="53" a="1"/>
  <c r="C166" i="54" a="1"/>
  <c r="C178" i="54" a="1"/>
  <c r="M156" i="53" a="1"/>
  <c r="C140" i="53" a="1"/>
  <c r="C180" i="54" a="1"/>
  <c r="C129" i="54" a="1"/>
  <c r="M158" i="53" a="1"/>
  <c r="D159" i="54" a="1"/>
  <c r="D154" i="54" a="1"/>
  <c r="Q155" i="53" a="1"/>
  <c r="C149" i="54" a="1"/>
  <c r="D147" i="54" a="1"/>
  <c r="C160" i="54" a="1"/>
  <c r="C148" i="54" a="1"/>
  <c r="N161" i="53" a="1"/>
  <c r="C104" i="54" a="1"/>
  <c r="D160" i="54" a="1"/>
  <c r="R160" i="53" a="1"/>
  <c r="C165" i="54" a="1"/>
  <c r="C143" i="53" a="1"/>
  <c r="D113" i="54" a="1"/>
  <c r="D149" i="54" a="1"/>
  <c r="C144" i="53" a="1"/>
  <c r="C151" i="54" a="1"/>
  <c r="D178" i="54" a="1"/>
  <c r="D95" i="54" a="1"/>
  <c r="C110" i="54" a="1"/>
  <c r="C143" i="54" a="1"/>
  <c r="Q159" i="53" a="1"/>
  <c r="C176" i="54" a="1"/>
  <c r="C233" i="52" a="1"/>
  <c r="D161" i="54" a="1"/>
  <c r="C95" i="54" a="1"/>
  <c r="Q158" i="53" a="1"/>
  <c r="D150" i="54" a="1"/>
  <c r="D151" i="54" a="1"/>
  <c r="C115" i="54" a="1"/>
  <c r="C93" i="54" a="1"/>
  <c r="D170" i="54" a="1"/>
  <c r="D234" i="52" a="1"/>
  <c r="C235" i="52" a="1"/>
  <c r="D182" i="54" a="1"/>
  <c r="P159" i="53" a="1"/>
  <c r="U154" i="53" a="1"/>
  <c r="D152" i="54" a="1"/>
  <c r="C227" i="52" a="1"/>
  <c r="D140" i="54" a="1"/>
  <c r="P161" i="53" a="1"/>
  <c r="V157" i="53" a="1"/>
  <c r="C138" i="53" a="1"/>
  <c r="C108" i="54" a="1"/>
  <c r="C119" i="54" a="1"/>
  <c r="N160" i="53" a="1"/>
  <c r="S154" i="53" a="1"/>
  <c r="C136" i="54" a="1"/>
  <c r="D176" i="54" a="1"/>
  <c r="D117" i="54" a="1"/>
  <c r="C101" i="54" a="1"/>
  <c r="C137" i="54" a="1"/>
  <c r="D121" i="54" a="1"/>
  <c r="D129" i="54" a="1"/>
  <c r="C183" i="54" a="1"/>
  <c r="C145" i="53" a="1"/>
  <c r="N156" i="53" a="1"/>
  <c r="D144" i="53" a="1"/>
  <c r="C134" i="54" a="1"/>
  <c r="D138" i="54" a="1"/>
  <c r="D96" i="54" a="1"/>
  <c r="C116" i="54" a="1"/>
  <c r="C133" i="54" a="1"/>
  <c r="D233" i="52" a="1"/>
  <c r="C111" i="54" a="1"/>
  <c r="D228" i="52" a="1"/>
  <c r="C107" i="54" a="1"/>
  <c r="D139" i="54" a="1"/>
  <c r="C158" i="54" a="1"/>
  <c r="D132" i="54" a="1"/>
  <c r="D138" i="53" a="1"/>
  <c r="P156" i="53" a="1"/>
  <c r="T156" i="53" a="1"/>
  <c r="C161" i="54" a="1"/>
  <c r="O159" i="53" a="1"/>
  <c r="D94" i="54" a="1"/>
  <c r="Q157" i="53" a="1"/>
  <c r="C146" i="53" a="1"/>
  <c r="D146" i="54" a="1"/>
  <c r="D148" i="53" a="1"/>
  <c r="D147" i="53" a="1"/>
  <c r="S155" i="53" a="1"/>
  <c r="C120" i="54" a="1"/>
  <c r="D116" i="54" a="1"/>
  <c r="D179" i="54" a="1"/>
  <c r="R156" i="53" a="1"/>
  <c r="Q160" i="53" a="1"/>
  <c r="C138" i="54" a="1"/>
  <c r="C139" i="54" a="1"/>
  <c r="V160" i="53" a="1"/>
  <c r="D124" i="54" a="1"/>
  <c r="C102" i="54" a="1"/>
  <c r="D183" i="54" a="1"/>
  <c r="D111" i="54" a="1"/>
  <c r="M155" i="53" a="1"/>
  <c r="T155" i="53" a="1"/>
  <c r="D125" i="54" a="1"/>
  <c r="D143" i="54" a="1"/>
  <c r="D145" i="54" a="1"/>
  <c r="D184" i="54" a="1"/>
  <c r="O157" i="53" a="1"/>
  <c r="D105" i="54" a="1"/>
  <c r="R161" i="53" a="1"/>
  <c r="C141" i="53" a="1"/>
  <c r="D180" i="54" a="1"/>
  <c r="D107" i="54" a="1"/>
  <c r="C144" i="54" a="1"/>
  <c r="C154" i="54" a="1"/>
  <c r="D128" i="54" a="1"/>
  <c r="D120" i="54" a="1"/>
  <c r="C156" i="54" a="1"/>
  <c r="C142" i="53" a="1"/>
  <c r="O158" i="53" a="1"/>
  <c r="D108" i="54" a="1"/>
  <c r="C114" i="54" a="1"/>
  <c r="D149" i="53" a="1"/>
  <c r="D141" i="54" a="1"/>
  <c r="C124" i="54" a="1"/>
  <c r="C170" i="54" a="1"/>
  <c r="C126" i="54" a="1"/>
  <c r="D101" i="54" a="1"/>
  <c r="S159" i="53" a="1"/>
  <c r="C182" i="54" a="1"/>
  <c r="D104" i="54" a="1"/>
  <c r="D98" i="54" a="1"/>
  <c r="C157" i="54" a="1"/>
  <c r="C149" i="53" a="1"/>
  <c r="D164" i="54" a="1"/>
  <c r="C226" i="52" a="1"/>
  <c r="C173" i="54" a="1"/>
  <c r="U159" i="53" a="1"/>
  <c r="C145" i="54" a="1"/>
  <c r="D143" i="53" a="1"/>
  <c r="C181" i="54" a="1"/>
  <c r="D140" i="53" a="1"/>
  <c r="D227" i="52" a="1"/>
  <c r="D100" i="54" a="1"/>
  <c r="Q156" i="53" a="1"/>
  <c r="C164" i="54" a="1"/>
  <c r="C117" i="54" a="1"/>
  <c r="M154" i="53" a="1"/>
  <c r="C122" i="54" a="1"/>
  <c r="D126" i="54" a="1"/>
  <c r="D185" i="54" a="1"/>
  <c r="C139" i="53" a="1"/>
  <c r="D167" i="54" a="1"/>
  <c r="T161" i="53" a="1"/>
  <c r="O160" i="53" a="1"/>
  <c r="C177" i="54" a="1"/>
  <c r="C105" i="54" a="1"/>
  <c r="D119" i="54" a="1"/>
  <c r="D93" i="54" a="1"/>
  <c r="C128" i="54" a="1"/>
  <c r="D133" i="54" a="1"/>
  <c r="C147" i="54" a="1"/>
  <c r="D106" i="54" a="1"/>
  <c r="C94" i="54" a="1"/>
  <c r="C167" i="54" a="1"/>
  <c r="C228" i="52" a="1"/>
  <c r="C100" i="54" a="1"/>
  <c r="D165" i="54" a="1"/>
  <c r="C113" i="54" a="1"/>
  <c r="D97" i="54" a="1"/>
  <c r="T159" i="53" a="1"/>
  <c r="S158" i="53" a="1"/>
  <c r="D166" i="54" a="1"/>
  <c r="C131" i="54" a="1"/>
  <c r="C135" i="54" a="1"/>
  <c r="D135" i="54" a="1"/>
  <c r="D112" i="54" a="1"/>
  <c r="C109" i="54" a="1"/>
  <c r="D102" i="54" a="1"/>
  <c r="M161" i="53" a="1"/>
  <c r="D145" i="53" a="1"/>
  <c r="C179" i="54" a="1"/>
  <c r="H131" i="53"/>
  <c r="C185" i="54" a="1"/>
  <c r="D148" i="54" a="1"/>
  <c r="D136" i="54" a="1"/>
  <c r="O22" i="66" l="1"/>
  <c r="W21" i="66"/>
  <c r="Q161" i="53"/>
  <c r="R160" i="53"/>
  <c r="P161" i="53"/>
  <c r="M159" i="53"/>
  <c r="M155" i="53"/>
  <c r="O158" i="53"/>
  <c r="N156" i="53"/>
  <c r="P155" i="53"/>
  <c r="T155" i="53"/>
  <c r="C235" i="52"/>
  <c r="C234" i="52"/>
  <c r="C233" i="52"/>
  <c r="C226" i="52"/>
  <c r="D233" i="52"/>
  <c r="D228" i="52"/>
  <c r="D232" i="52"/>
  <c r="D227" i="52"/>
  <c r="D225" i="52"/>
  <c r="D234" i="52"/>
  <c r="C228" i="52"/>
  <c r="N161" i="53"/>
  <c r="T161" i="53"/>
  <c r="C227" i="52"/>
  <c r="Q159" i="53"/>
  <c r="C225" i="52"/>
  <c r="Q156" i="53"/>
  <c r="P158" i="53"/>
  <c r="D231" i="52"/>
  <c r="M157" i="53"/>
  <c r="S158" i="53"/>
  <c r="T156" i="53"/>
  <c r="S154" i="53"/>
  <c r="P160" i="53"/>
  <c r="O160" i="53"/>
  <c r="N160" i="53"/>
  <c r="M158" i="53"/>
  <c r="V155" i="53"/>
  <c r="V157" i="53"/>
  <c r="S159" i="53"/>
  <c r="T157" i="53"/>
  <c r="S155" i="53"/>
  <c r="T159" i="53"/>
  <c r="R156" i="53"/>
  <c r="V158" i="53"/>
  <c r="R161" i="53"/>
  <c r="S157" i="53"/>
  <c r="V154" i="53"/>
  <c r="U154" i="53"/>
  <c r="U159" i="53"/>
  <c r="U156" i="53"/>
  <c r="U157" i="53"/>
  <c r="V160" i="53"/>
  <c r="R154" i="53"/>
  <c r="C115" i="54"/>
  <c r="D114" i="54"/>
  <c r="D180" i="54"/>
  <c r="C148" i="54"/>
  <c r="D178" i="54"/>
  <c r="C136" i="54"/>
  <c r="C113" i="54"/>
  <c r="C108" i="54"/>
  <c r="C161" i="54"/>
  <c r="D126" i="54"/>
  <c r="C134" i="54"/>
  <c r="C142" i="54"/>
  <c r="D149" i="54"/>
  <c r="C160" i="54"/>
  <c r="D176" i="54"/>
  <c r="D183" i="54"/>
  <c r="D111" i="54"/>
  <c r="D92" i="54"/>
  <c r="D98" i="54"/>
  <c r="C110" i="54"/>
  <c r="C118" i="54"/>
  <c r="D129" i="54"/>
  <c r="D145" i="54"/>
  <c r="D165" i="54"/>
  <c r="D93" i="54"/>
  <c r="D119" i="54"/>
  <c r="D127" i="54"/>
  <c r="D135" i="54"/>
  <c r="D143" i="54"/>
  <c r="D152" i="54"/>
  <c r="D159" i="54"/>
  <c r="D167" i="54"/>
  <c r="C182" i="54"/>
  <c r="C124" i="54"/>
  <c r="D132" i="54"/>
  <c r="D140" i="54"/>
  <c r="D147" i="54"/>
  <c r="C170" i="54"/>
  <c r="D177" i="54"/>
  <c r="C185" i="54"/>
  <c r="D109" i="54"/>
  <c r="D117" i="54"/>
  <c r="D100" i="54"/>
  <c r="C104" i="54"/>
  <c r="D112" i="54"/>
  <c r="D121" i="54"/>
  <c r="D133" i="54"/>
  <c r="D150" i="54"/>
  <c r="D173" i="54"/>
  <c r="D97" i="54"/>
  <c r="C122" i="54"/>
  <c r="D138" i="54"/>
  <c r="D164" i="54"/>
  <c r="C179" i="54"/>
  <c r="C96" i="54"/>
  <c r="C106" i="54"/>
  <c r="C137" i="54"/>
  <c r="C101" i="54"/>
  <c r="C131" i="54"/>
  <c r="C156" i="54"/>
  <c r="C120" i="54"/>
  <c r="C144" i="54"/>
  <c r="C158" i="54"/>
  <c r="C181" i="54"/>
  <c r="C94" i="54"/>
  <c r="C125" i="54"/>
  <c r="C126" i="54"/>
  <c r="D134" i="54"/>
  <c r="D142" i="54"/>
  <c r="C149" i="54"/>
  <c r="D160" i="54"/>
  <c r="C176" i="54"/>
  <c r="C183" i="54"/>
  <c r="C111" i="54"/>
  <c r="C92" i="54"/>
  <c r="C98" i="54"/>
  <c r="D110" i="54"/>
  <c r="D118" i="54"/>
  <c r="C129" i="54"/>
  <c r="C145" i="54"/>
  <c r="C165" i="54"/>
  <c r="C93" i="54"/>
  <c r="C119" i="54"/>
  <c r="C127" i="54"/>
  <c r="C135" i="54"/>
  <c r="C143" i="54"/>
  <c r="C152" i="54"/>
  <c r="C159" i="54"/>
  <c r="C167" i="54"/>
  <c r="D182" i="54"/>
  <c r="D124" i="54"/>
  <c r="C132" i="54"/>
  <c r="C140" i="54"/>
  <c r="C147" i="54"/>
  <c r="D170" i="54"/>
  <c r="C177" i="54"/>
  <c r="D185" i="54"/>
  <c r="C109" i="54"/>
  <c r="C117" i="54"/>
  <c r="C100" i="54"/>
  <c r="D104" i="54"/>
  <c r="C112" i="54"/>
  <c r="C121" i="54"/>
  <c r="C133" i="54"/>
  <c r="C150" i="54"/>
  <c r="C173" i="54"/>
  <c r="C97" i="54"/>
  <c r="C130" i="54"/>
  <c r="D146" i="54"/>
  <c r="C107" i="54"/>
  <c r="C99" i="54"/>
  <c r="C95" i="54"/>
  <c r="C157" i="54"/>
  <c r="C139" i="54"/>
  <c r="C163" i="54"/>
  <c r="D154" i="54"/>
  <c r="D128" i="54"/>
  <c r="C151" i="54"/>
  <c r="C166" i="54"/>
  <c r="C105" i="54"/>
  <c r="C102" i="54"/>
  <c r="C116" i="54"/>
  <c r="C141" i="54"/>
  <c r="C184" i="54"/>
  <c r="D122" i="54"/>
  <c r="D130" i="54"/>
  <c r="C138" i="54"/>
  <c r="C146" i="54"/>
  <c r="C164" i="54"/>
  <c r="D179" i="54"/>
  <c r="D107" i="54"/>
  <c r="D115" i="54"/>
  <c r="D96" i="54"/>
  <c r="D99" i="54"/>
  <c r="D106" i="54"/>
  <c r="C114" i="54"/>
  <c r="D95" i="54"/>
  <c r="D137" i="54"/>
  <c r="D157" i="54"/>
  <c r="C180" i="54"/>
  <c r="D101" i="54"/>
  <c r="D131" i="54"/>
  <c r="D139" i="54"/>
  <c r="D148" i="54"/>
  <c r="D156" i="54"/>
  <c r="D163" i="54"/>
  <c r="C178" i="54"/>
  <c r="C154" i="54"/>
  <c r="D120" i="54"/>
  <c r="C128" i="54"/>
  <c r="D136" i="54"/>
  <c r="D144" i="54"/>
  <c r="D151" i="54"/>
  <c r="D166" i="54"/>
  <c r="D181" i="54"/>
  <c r="D105" i="54"/>
  <c r="D113" i="54"/>
  <c r="D94" i="54"/>
  <c r="D102" i="54"/>
  <c r="D108" i="54"/>
  <c r="D116" i="54"/>
  <c r="D125" i="54"/>
  <c r="D141" i="54"/>
  <c r="D161" i="54"/>
  <c r="D184" i="54"/>
  <c r="C91" i="54"/>
  <c r="C142" i="53"/>
  <c r="C145" i="53"/>
  <c r="C139" i="53"/>
  <c r="D142" i="53"/>
  <c r="D138" i="53"/>
  <c r="D145" i="53"/>
  <c r="D150" i="53"/>
  <c r="D143" i="53"/>
  <c r="D139" i="53"/>
  <c r="C138" i="53"/>
  <c r="C150" i="53"/>
  <c r="C143" i="53"/>
  <c r="C148" i="53"/>
  <c r="C140" i="53"/>
  <c r="C147" i="53"/>
  <c r="C141" i="53"/>
  <c r="C144" i="53"/>
  <c r="C149" i="53"/>
  <c r="C146" i="53"/>
  <c r="D148" i="53"/>
  <c r="D140" i="53"/>
  <c r="D147" i="53"/>
  <c r="D141" i="53"/>
  <c r="D144" i="53"/>
  <c r="D149" i="53"/>
  <c r="D146" i="53"/>
  <c r="N159" i="53"/>
  <c r="N155" i="53"/>
  <c r="O159" i="53"/>
  <c r="P154" i="53"/>
  <c r="N157" i="53"/>
  <c r="Q158" i="53"/>
  <c r="M161" i="53"/>
  <c r="P159" i="53"/>
  <c r="Q160" i="53"/>
  <c r="Q157" i="53"/>
  <c r="M156" i="53"/>
  <c r="O154" i="53"/>
  <c r="P156" i="53"/>
  <c r="P157" i="53"/>
  <c r="O157" i="53"/>
  <c r="Q155" i="53"/>
  <c r="M154" i="53"/>
  <c r="G131" i="53"/>
  <c r="F131" i="53"/>
  <c r="H125" i="53"/>
  <c r="H127" i="53"/>
  <c r="H123" i="53"/>
  <c r="H124" i="53"/>
  <c r="C136" i="53" a="1"/>
  <c r="D137" i="53" a="1"/>
  <c r="H126" i="53"/>
  <c r="D136" i="53" a="1"/>
  <c r="C137" i="53" a="1"/>
  <c r="O23" i="66" l="1"/>
  <c r="W22" i="66"/>
  <c r="C137" i="53"/>
  <c r="D137" i="53"/>
  <c r="C136" i="53"/>
  <c r="D136" i="53"/>
  <c r="E141" i="53"/>
  <c r="E143" i="53"/>
  <c r="E145" i="53"/>
  <c r="E147" i="53"/>
  <c r="E149" i="53"/>
  <c r="E142" i="53"/>
  <c r="F126" i="53"/>
  <c r="G126" i="53"/>
  <c r="F124" i="53"/>
  <c r="G124" i="53"/>
  <c r="F125" i="53"/>
  <c r="G125" i="53"/>
  <c r="F123" i="53"/>
  <c r="G123" i="53"/>
  <c r="G127" i="53"/>
  <c r="F127" i="53"/>
  <c r="C131" i="53" a="1"/>
  <c r="D131" i="53" a="1"/>
  <c r="O24" i="66" l="1"/>
  <c r="W23" i="66"/>
  <c r="X19" i="66"/>
  <c r="X20" i="66"/>
  <c r="X21" i="66"/>
  <c r="X22" i="66"/>
  <c r="C131" i="53"/>
  <c r="D131" i="53"/>
  <c r="D123" i="53" a="1"/>
  <c r="H96" i="53"/>
  <c r="H92" i="53"/>
  <c r="H95" i="53"/>
  <c r="D125" i="53" a="1"/>
  <c r="H97" i="53"/>
  <c r="H106" i="53"/>
  <c r="C126" i="53" a="1"/>
  <c r="C127" i="53" a="1"/>
  <c r="H94" i="53"/>
  <c r="H102" i="53"/>
  <c r="H103" i="53"/>
  <c r="C124" i="53" a="1"/>
  <c r="C123" i="53" a="1"/>
  <c r="D127" i="53" a="1"/>
  <c r="C125" i="53" a="1"/>
  <c r="H93" i="53"/>
  <c r="H99" i="53"/>
  <c r="D124" i="53" a="1"/>
  <c r="D126" i="53" a="1"/>
  <c r="H111" i="53"/>
  <c r="O25" i="66" l="1"/>
  <c r="W24" i="66"/>
  <c r="C123" i="53"/>
  <c r="C127" i="53"/>
  <c r="D126" i="53"/>
  <c r="D127" i="53"/>
  <c r="D123" i="53"/>
  <c r="C125" i="53"/>
  <c r="C124" i="53"/>
  <c r="C126" i="53"/>
  <c r="D125" i="53"/>
  <c r="D124" i="53"/>
  <c r="G97" i="53"/>
  <c r="F97" i="53"/>
  <c r="G93" i="53"/>
  <c r="F93" i="53"/>
  <c r="G96" i="53"/>
  <c r="F96" i="53"/>
  <c r="F94" i="53"/>
  <c r="G94" i="53"/>
  <c r="F95" i="53"/>
  <c r="G95" i="53"/>
  <c r="G92" i="53"/>
  <c r="F92" i="53"/>
  <c r="G103" i="53"/>
  <c r="F103" i="53"/>
  <c r="F102" i="53"/>
  <c r="G102" i="53"/>
  <c r="F106" i="53"/>
  <c r="G106" i="53"/>
  <c r="G99" i="53"/>
  <c r="F99" i="53"/>
  <c r="F111" i="53"/>
  <c r="G111" i="53"/>
  <c r="D90" i="53"/>
  <c r="C90" i="53"/>
  <c r="B90" i="53"/>
  <c r="D47" i="59"/>
  <c r="C47" i="59"/>
  <c r="B47" i="59"/>
  <c r="H108" i="53"/>
  <c r="H52" i="59"/>
  <c r="H54" i="59"/>
  <c r="H129" i="53"/>
  <c r="H117" i="53"/>
  <c r="H122" i="53"/>
  <c r="H57" i="59"/>
  <c r="H132" i="53"/>
  <c r="H116" i="53"/>
  <c r="H112" i="53"/>
  <c r="H50" i="59"/>
  <c r="H49" i="59"/>
  <c r="H119" i="53"/>
  <c r="H113" i="53"/>
  <c r="H51" i="59"/>
  <c r="H134" i="53"/>
  <c r="H48" i="59"/>
  <c r="H135" i="53"/>
  <c r="H55" i="59"/>
  <c r="H130" i="53"/>
  <c r="H109" i="53"/>
  <c r="H104" i="53"/>
  <c r="H128" i="53"/>
  <c r="H100" i="53"/>
  <c r="H107" i="53"/>
  <c r="H118" i="53"/>
  <c r="H121" i="53"/>
  <c r="H101" i="53"/>
  <c r="H56" i="59"/>
  <c r="H91" i="53"/>
  <c r="H98" i="53"/>
  <c r="H53" i="59"/>
  <c r="H110" i="53"/>
  <c r="H120" i="53"/>
  <c r="H105" i="53"/>
  <c r="H114" i="53"/>
  <c r="H58" i="59"/>
  <c r="H115" i="53"/>
  <c r="H133" i="53"/>
  <c r="F48" i="59" l="1"/>
  <c r="I57" i="59"/>
  <c r="G57" i="59" s="1"/>
  <c r="I58" i="59"/>
  <c r="G58" i="59" s="1"/>
  <c r="I50" i="59"/>
  <c r="G50" i="59" s="1"/>
  <c r="I53" i="59"/>
  <c r="G53" i="59" s="1"/>
  <c r="I52" i="59"/>
  <c r="G52" i="59" s="1"/>
  <c r="I54" i="59"/>
  <c r="G54" i="59" s="1"/>
  <c r="I49" i="59"/>
  <c r="G49" i="59" s="1"/>
  <c r="I56" i="59"/>
  <c r="G56" i="59" s="1"/>
  <c r="I51" i="59"/>
  <c r="G51" i="59" s="1"/>
  <c r="I55" i="59"/>
  <c r="G55" i="59" s="1"/>
  <c r="I48" i="59"/>
  <c r="G48" i="59" s="1"/>
  <c r="O26" i="66"/>
  <c r="W25" i="66"/>
  <c r="F58" i="59"/>
  <c r="F55" i="59"/>
  <c r="F52" i="59"/>
  <c r="F51" i="59"/>
  <c r="F57" i="59"/>
  <c r="F49" i="59"/>
  <c r="F56" i="59"/>
  <c r="F50" i="59"/>
  <c r="F54" i="59"/>
  <c r="F53" i="59"/>
  <c r="E150" i="53"/>
  <c r="E148" i="53"/>
  <c r="E146" i="53"/>
  <c r="E144" i="53"/>
  <c r="G135" i="53"/>
  <c r="F135" i="53"/>
  <c r="G134" i="53"/>
  <c r="F134" i="53"/>
  <c r="G133" i="53"/>
  <c r="F133" i="53"/>
  <c r="G132" i="53"/>
  <c r="F132" i="53"/>
  <c r="G130" i="53"/>
  <c r="F130" i="53"/>
  <c r="G129" i="53"/>
  <c r="F129" i="53"/>
  <c r="G128" i="53"/>
  <c r="F128" i="53"/>
  <c r="G122" i="53"/>
  <c r="F122" i="53"/>
  <c r="G121" i="53"/>
  <c r="F121" i="53"/>
  <c r="F120" i="53"/>
  <c r="G120" i="53"/>
  <c r="G119" i="53"/>
  <c r="F119" i="53"/>
  <c r="G118" i="53"/>
  <c r="F118" i="53"/>
  <c r="G117" i="53"/>
  <c r="F117" i="53"/>
  <c r="G116" i="53"/>
  <c r="F116" i="53"/>
  <c r="G115" i="53"/>
  <c r="F115" i="53"/>
  <c r="G114" i="53"/>
  <c r="F114" i="53"/>
  <c r="G113" i="53"/>
  <c r="F113" i="53"/>
  <c r="G109" i="53"/>
  <c r="F109" i="53"/>
  <c r="G98" i="53"/>
  <c r="F98" i="53"/>
  <c r="G108" i="53"/>
  <c r="F108" i="53"/>
  <c r="G104" i="53"/>
  <c r="F104" i="53"/>
  <c r="G110" i="53"/>
  <c r="F110" i="53"/>
  <c r="G107" i="53"/>
  <c r="F107" i="53"/>
  <c r="G105" i="53"/>
  <c r="F105" i="53"/>
  <c r="G91" i="53"/>
  <c r="F91" i="53"/>
  <c r="F112" i="53"/>
  <c r="G112" i="53"/>
  <c r="G100" i="53"/>
  <c r="F100" i="53"/>
  <c r="G101" i="53"/>
  <c r="F101" i="53"/>
  <c r="C51" i="59" a="1"/>
  <c r="C56" i="59" a="1"/>
  <c r="D49" i="59" a="1"/>
  <c r="D58" i="59" a="1"/>
  <c r="C49" i="59" a="1"/>
  <c r="D96" i="53" a="1"/>
  <c r="C95" i="53" a="1"/>
  <c r="C111" i="53" a="1"/>
  <c r="D106" i="53" a="1"/>
  <c r="D95" i="53" a="1"/>
  <c r="D102" i="53" a="1"/>
  <c r="C92" i="53" a="1"/>
  <c r="C99" i="53" a="1"/>
  <c r="D93" i="53" a="1"/>
  <c r="C97" i="53" a="1"/>
  <c r="D92" i="53" a="1"/>
  <c r="C94" i="53" a="1"/>
  <c r="C106" i="53" a="1"/>
  <c r="C93" i="53" a="1"/>
  <c r="D94" i="53" a="1"/>
  <c r="D99" i="53" a="1"/>
  <c r="C102" i="53" a="1"/>
  <c r="C96" i="53" a="1"/>
  <c r="D97" i="53" a="1"/>
  <c r="D111" i="53" a="1"/>
  <c r="C91" i="53" a="1"/>
  <c r="C49" i="59" l="1"/>
  <c r="O27" i="66"/>
  <c r="W26" i="66"/>
  <c r="C51" i="59"/>
  <c r="D49" i="59"/>
  <c r="D58" i="59"/>
  <c r="C56" i="59"/>
  <c r="D94" i="53"/>
  <c r="D99" i="53"/>
  <c r="D106" i="53"/>
  <c r="D97" i="53"/>
  <c r="C102" i="53"/>
  <c r="C92" i="53"/>
  <c r="C95" i="53"/>
  <c r="C111" i="53"/>
  <c r="C96" i="53"/>
  <c r="D102" i="53"/>
  <c r="D92" i="53"/>
  <c r="D95" i="53"/>
  <c r="D111" i="53"/>
  <c r="D96" i="53"/>
  <c r="C94" i="53"/>
  <c r="C93" i="53"/>
  <c r="C99" i="53"/>
  <c r="C106" i="53"/>
  <c r="C97" i="53"/>
  <c r="D93" i="53"/>
  <c r="C91" i="53"/>
  <c r="E111" i="53"/>
  <c r="E97" i="53"/>
  <c r="E102" i="53"/>
  <c r="C57" i="59" a="1"/>
  <c r="C55" i="59" a="1"/>
  <c r="D57" i="59" a="1"/>
  <c r="D55" i="59" a="1"/>
  <c r="D56" i="59" a="1"/>
  <c r="D51" i="59" a="1"/>
  <c r="C58" i="59" a="1"/>
  <c r="D113" i="53" a="1"/>
  <c r="D105" i="53" a="1"/>
  <c r="C119" i="53" a="1"/>
  <c r="C105" i="53" a="1"/>
  <c r="C128" i="53" a="1"/>
  <c r="C109" i="53" a="1"/>
  <c r="D118" i="53" a="1"/>
  <c r="C112" i="53" a="1"/>
  <c r="C108" i="53" a="1"/>
  <c r="C118" i="53" a="1"/>
  <c r="D91" i="53" a="1"/>
  <c r="D117" i="53" a="1"/>
  <c r="C120" i="53" a="1"/>
  <c r="D101" i="53" a="1"/>
  <c r="D132" i="53" a="1"/>
  <c r="C121" i="53" a="1"/>
  <c r="C129" i="53" a="1"/>
  <c r="C133" i="53" a="1"/>
  <c r="C115" i="53" a="1"/>
  <c r="C122" i="53" a="1"/>
  <c r="C132" i="53" a="1"/>
  <c r="C117" i="53" a="1"/>
  <c r="D112" i="53" a="1"/>
  <c r="D109" i="53" a="1"/>
  <c r="D133" i="53" a="1"/>
  <c r="D100" i="53" a="1"/>
  <c r="C107" i="53" a="1"/>
  <c r="D120" i="53" a="1"/>
  <c r="D134" i="53" a="1"/>
  <c r="D110" i="53" a="1"/>
  <c r="D115" i="53" a="1"/>
  <c r="D104" i="53" a="1"/>
  <c r="C113" i="53" a="1"/>
  <c r="D121" i="53" a="1"/>
  <c r="C98" i="53" a="1"/>
  <c r="D119" i="53" a="1"/>
  <c r="D130" i="53" a="1"/>
  <c r="C110" i="53" a="1"/>
  <c r="D108" i="53" a="1"/>
  <c r="C101" i="53" a="1"/>
  <c r="C116" i="53" a="1"/>
  <c r="C114" i="53" a="1"/>
  <c r="C130" i="53" a="1"/>
  <c r="D128" i="53" a="1"/>
  <c r="D107" i="53" a="1"/>
  <c r="C100" i="53" a="1"/>
  <c r="D116" i="53" a="1"/>
  <c r="C134" i="53" a="1"/>
  <c r="D129" i="53" a="1"/>
  <c r="C104" i="53" a="1"/>
  <c r="D114" i="53" a="1"/>
  <c r="D122" i="53" a="1"/>
  <c r="D98" i="53" a="1"/>
  <c r="O28" i="66" l="1"/>
  <c r="W27" i="66"/>
  <c r="C58" i="59"/>
  <c r="D57" i="59"/>
  <c r="D59" i="59" s="1"/>
  <c r="C57" i="59"/>
  <c r="C59" i="59" s="1"/>
  <c r="D56" i="59"/>
  <c r="C55" i="59"/>
  <c r="D55" i="59"/>
  <c r="D51" i="59"/>
  <c r="D112" i="53"/>
  <c r="D132" i="53"/>
  <c r="D122" i="53"/>
  <c r="D116" i="53"/>
  <c r="D109" i="53"/>
  <c r="D110" i="53"/>
  <c r="D101" i="53"/>
  <c r="D133" i="53"/>
  <c r="D128" i="53"/>
  <c r="D119" i="53"/>
  <c r="D115" i="53"/>
  <c r="D98" i="53"/>
  <c r="D107" i="53"/>
  <c r="C120" i="53"/>
  <c r="C134" i="53"/>
  <c r="C118" i="53"/>
  <c r="C108" i="53"/>
  <c r="C105" i="53"/>
  <c r="C130" i="53"/>
  <c r="C121" i="53"/>
  <c r="C117" i="53"/>
  <c r="C113" i="53"/>
  <c r="C104" i="53"/>
  <c r="D91" i="53"/>
  <c r="D120" i="53"/>
  <c r="C129" i="53"/>
  <c r="C114" i="53"/>
  <c r="D134" i="53"/>
  <c r="D129" i="53"/>
  <c r="D118" i="53"/>
  <c r="D114" i="53"/>
  <c r="D108" i="53"/>
  <c r="D105" i="53"/>
  <c r="D130" i="53"/>
  <c r="D121" i="53"/>
  <c r="D117" i="53"/>
  <c r="D113" i="53"/>
  <c r="D104" i="53"/>
  <c r="C100" i="53"/>
  <c r="C112" i="53"/>
  <c r="C132" i="53"/>
  <c r="C122" i="53"/>
  <c r="C116" i="53"/>
  <c r="C109" i="53"/>
  <c r="C110" i="53"/>
  <c r="C101" i="53"/>
  <c r="C133" i="53"/>
  <c r="C128" i="53"/>
  <c r="C119" i="53"/>
  <c r="C115" i="53"/>
  <c r="C98" i="53"/>
  <c r="C107" i="53"/>
  <c r="D100" i="53"/>
  <c r="E99" i="53"/>
  <c r="E133" i="53"/>
  <c r="E132" i="53"/>
  <c r="I35" i="53" s="1"/>
  <c r="E119" i="53"/>
  <c r="E98" i="53"/>
  <c r="E107" i="53"/>
  <c r="O29" i="66" l="1"/>
  <c r="W28" i="66"/>
  <c r="X27" i="66"/>
  <c r="X24" i="66"/>
  <c r="X25" i="66"/>
  <c r="X26" i="66"/>
  <c r="E100" i="53"/>
  <c r="B15" i="53" s="1"/>
  <c r="E104" i="53"/>
  <c r="E115" i="53"/>
  <c r="E117" i="53"/>
  <c r="E121" i="53"/>
  <c r="A17" i="53" s="1"/>
  <c r="E101" i="53"/>
  <c r="C14" i="53" s="1"/>
  <c r="E114" i="53"/>
  <c r="E120" i="53"/>
  <c r="A20" i="53" s="1"/>
  <c r="A155" i="53" s="1"/>
  <c r="E122" i="53"/>
  <c r="A22" i="53" s="1"/>
  <c r="A157" i="53" s="1"/>
  <c r="E134" i="53"/>
  <c r="F6" i="53"/>
  <c r="D6" i="53"/>
  <c r="E6" i="53"/>
  <c r="G6" i="53"/>
  <c r="A23" i="53"/>
  <c r="A158" i="53" s="1"/>
  <c r="A19" i="53"/>
  <c r="A154" i="53" s="1"/>
  <c r="A15" i="53"/>
  <c r="O30" i="66" l="1"/>
  <c r="W29" i="66"/>
  <c r="X29" i="66"/>
  <c r="A16" i="53"/>
  <c r="C3" i="53"/>
  <c r="C6" i="53" s="1"/>
  <c r="A24" i="53"/>
  <c r="A159" i="53" s="1"/>
  <c r="A26" i="53"/>
  <c r="A161" i="53" s="1"/>
  <c r="A18" i="53"/>
  <c r="A21" i="53"/>
  <c r="A156" i="53" s="1"/>
  <c r="I3" i="53"/>
  <c r="A25" i="53"/>
  <c r="A160" i="53" s="1"/>
  <c r="B21" i="53"/>
  <c r="B26" i="53"/>
  <c r="B23" i="53"/>
  <c r="B16" i="53"/>
  <c r="B24" i="53"/>
  <c r="B19" i="53"/>
  <c r="B17" i="53"/>
  <c r="B18" i="53"/>
  <c r="B25" i="53"/>
  <c r="B20" i="53"/>
  <c r="B22" i="53"/>
  <c r="D30" i="59"/>
  <c r="C30" i="59"/>
  <c r="E56" i="59"/>
  <c r="O31" i="66" l="1"/>
  <c r="W30" i="66"/>
  <c r="X30" i="66"/>
  <c r="B32" i="59"/>
  <c r="X2" i="52"/>
  <c r="B19" i="52"/>
  <c r="B7" i="52"/>
  <c r="B3" i="52"/>
  <c r="B105" i="53" l="1"/>
  <c r="B105" i="69"/>
  <c r="B105" i="67"/>
  <c r="B105" i="66"/>
  <c r="B105" i="68"/>
  <c r="B92" i="66"/>
  <c r="B92" i="67"/>
  <c r="B92" i="68"/>
  <c r="B92" i="69"/>
  <c r="B96" i="53"/>
  <c r="B96" i="66"/>
  <c r="B96" i="68"/>
  <c r="B96" i="67"/>
  <c r="B96" i="69"/>
  <c r="O32" i="66"/>
  <c r="O33" i="66" s="1"/>
  <c r="O34" i="66" s="1"/>
  <c r="O35" i="66" s="1"/>
  <c r="O36" i="66" s="1"/>
  <c r="O37" i="66" s="1"/>
  <c r="O38" i="66" s="1"/>
  <c r="O39" i="66" s="1"/>
  <c r="O40" i="66" s="1"/>
  <c r="O41" i="66" s="1"/>
  <c r="O42" i="66" s="1"/>
  <c r="O43" i="66" s="1"/>
  <c r="O44" i="66" s="1"/>
  <c r="O45" i="66" s="1"/>
  <c r="O46" i="66" s="1"/>
  <c r="O47" i="66" s="1"/>
  <c r="O48" i="66" s="1"/>
  <c r="O49" i="66" s="1"/>
  <c r="O50" i="66" s="1"/>
  <c r="O51" i="66" s="1"/>
  <c r="W31" i="66"/>
  <c r="X31" i="66"/>
  <c r="B92" i="53"/>
  <c r="E92" i="53" s="1"/>
  <c r="B92" i="54"/>
  <c r="E92" i="54" s="1"/>
  <c r="B96" i="54"/>
  <c r="E96" i="54" s="1"/>
  <c r="E96" i="53"/>
  <c r="B105" i="54"/>
  <c r="E105" i="54" s="1"/>
  <c r="E105" i="53"/>
  <c r="D7" i="52"/>
  <c r="E7" i="52"/>
  <c r="F7" i="52"/>
  <c r="G7" i="52"/>
  <c r="D3" i="52"/>
  <c r="G38" i="53" l="1"/>
  <c r="D38" i="53"/>
  <c r="C38" i="53"/>
  <c r="F38" i="53"/>
  <c r="E38" i="53"/>
  <c r="E195" i="52"/>
  <c r="G112" i="52" s="1"/>
  <c r="E194" i="52"/>
  <c r="B5" i="52" s="1"/>
  <c r="E193" i="52"/>
  <c r="G114" i="52" s="1"/>
  <c r="E192" i="52"/>
  <c r="E191" i="52"/>
  <c r="K190" i="52"/>
  <c r="J190" i="52"/>
  <c r="I190" i="52"/>
  <c r="M190" i="52" s="1"/>
  <c r="K189" i="52"/>
  <c r="J189" i="52"/>
  <c r="E189" i="52"/>
  <c r="C12" i="52" s="1"/>
  <c r="I19" i="59"/>
  <c r="K15" i="59"/>
  <c r="K14" i="59"/>
  <c r="J15" i="59"/>
  <c r="J14" i="59"/>
  <c r="B94" i="66" l="1"/>
  <c r="B94" i="68"/>
  <c r="B94" i="69"/>
  <c r="B94" i="67"/>
  <c r="B136" i="66"/>
  <c r="B136" i="67"/>
  <c r="B176" i="68"/>
  <c r="B176" i="69"/>
  <c r="B94" i="53"/>
  <c r="E94" i="53" s="1"/>
  <c r="B136" i="53"/>
  <c r="E136" i="53" s="1"/>
  <c r="N11" i="52"/>
  <c r="B94" i="54"/>
  <c r="E94" i="54" s="1"/>
  <c r="U7" i="54" s="1"/>
  <c r="B176" i="54"/>
  <c r="E176" i="54" s="1"/>
  <c r="I10" i="59"/>
  <c r="B6" i="52"/>
  <c r="I194" i="52"/>
  <c r="L190" i="52"/>
  <c r="E190" i="52"/>
  <c r="C65" i="52" s="1"/>
  <c r="I189" i="52"/>
  <c r="B17" i="75" l="1"/>
  <c r="B69" i="75"/>
  <c r="B95" i="69"/>
  <c r="B95" i="67"/>
  <c r="B95" i="68"/>
  <c r="B95" i="66"/>
  <c r="B58" i="72"/>
  <c r="B58" i="73"/>
  <c r="B58" i="70"/>
  <c r="B58" i="71"/>
  <c r="I9" i="59"/>
  <c r="I4" i="59"/>
  <c r="B95" i="53"/>
  <c r="E95" i="53" s="1"/>
  <c r="B69" i="52"/>
  <c r="B58" i="62"/>
  <c r="E58" i="62" s="1"/>
  <c r="B58" i="63"/>
  <c r="E58" i="63" s="1"/>
  <c r="L189" i="52"/>
  <c r="M189" i="52"/>
  <c r="N10" i="52" s="1"/>
  <c r="U8" i="54"/>
  <c r="U9" i="54"/>
  <c r="V5" i="54"/>
  <c r="V4" i="54"/>
  <c r="V3" i="54"/>
  <c r="V6" i="54"/>
  <c r="U10" i="54"/>
  <c r="V10" i="54"/>
  <c r="U11" i="54"/>
  <c r="V7" i="54"/>
  <c r="U12" i="54"/>
  <c r="U5" i="54"/>
  <c r="U4" i="54"/>
  <c r="U6" i="54"/>
  <c r="U3" i="54"/>
  <c r="B17" i="52"/>
  <c r="B95" i="54"/>
  <c r="E95" i="54" s="1"/>
  <c r="B4" i="52"/>
  <c r="B107" i="52"/>
  <c r="C103" i="54" a="1"/>
  <c r="D103" i="68" a="1"/>
  <c r="D103" i="66" a="1"/>
  <c r="D103" i="53" a="1"/>
  <c r="C103" i="67" a="1"/>
  <c r="D103" i="54" a="1"/>
  <c r="C103" i="53" a="1"/>
  <c r="C135" i="53" a="1"/>
  <c r="C123" i="54" a="1"/>
  <c r="D123" i="68" a="1"/>
  <c r="D103" i="67" a="1"/>
  <c r="D123" i="69" a="1"/>
  <c r="D135" i="66" a="1"/>
  <c r="C123" i="68" a="1"/>
  <c r="C123" i="69" a="1"/>
  <c r="C135" i="67" a="1"/>
  <c r="D135" i="53" a="1"/>
  <c r="D103" i="69" a="1"/>
  <c r="D123" i="54" a="1"/>
  <c r="C135" i="66" a="1"/>
  <c r="C103" i="68" a="1"/>
  <c r="C103" i="66" a="1"/>
  <c r="C103" i="69" a="1"/>
  <c r="D135" i="67" a="1"/>
  <c r="B49" i="59" l="1"/>
  <c r="B154" i="68"/>
  <c r="B154" i="69"/>
  <c r="C123" i="68"/>
  <c r="E123" i="68" s="1"/>
  <c r="B19" i="68" s="1"/>
  <c r="C123" i="69"/>
  <c r="C135" i="67"/>
  <c r="C135" i="66"/>
  <c r="E135" i="66" s="1"/>
  <c r="C103" i="67"/>
  <c r="C103" i="66"/>
  <c r="E103" i="66" s="1"/>
  <c r="C103" i="69"/>
  <c r="C103" i="68"/>
  <c r="E103" i="68" s="1"/>
  <c r="D103" i="67"/>
  <c r="E103" i="67" s="1"/>
  <c r="D103" i="66"/>
  <c r="D103" i="68"/>
  <c r="D103" i="69"/>
  <c r="E103" i="69" s="1"/>
  <c r="D123" i="68"/>
  <c r="D135" i="67"/>
  <c r="E135" i="67" s="1"/>
  <c r="D135" i="66"/>
  <c r="D123" i="69"/>
  <c r="E123" i="69" s="1"/>
  <c r="B19" i="69" s="1"/>
  <c r="B103" i="69"/>
  <c r="B103" i="67"/>
  <c r="B103" i="68"/>
  <c r="B103" i="66"/>
  <c r="B57" i="71"/>
  <c r="B57" i="73"/>
  <c r="B57" i="70"/>
  <c r="B57" i="72"/>
  <c r="B123" i="69"/>
  <c r="B135" i="67"/>
  <c r="B135" i="66"/>
  <c r="B123" i="68"/>
  <c r="B93" i="69"/>
  <c r="B93" i="67"/>
  <c r="B93" i="66"/>
  <c r="B93" i="68"/>
  <c r="U14" i="54"/>
  <c r="I11" i="59"/>
  <c r="I17" i="59" s="1"/>
  <c r="B29" i="59" s="1"/>
  <c r="C103" i="54"/>
  <c r="C103" i="53"/>
  <c r="C123" i="54"/>
  <c r="C135" i="53"/>
  <c r="D103" i="54"/>
  <c r="D103" i="53"/>
  <c r="D123" i="54"/>
  <c r="D135" i="53"/>
  <c r="B93" i="53"/>
  <c r="E93" i="53" s="1"/>
  <c r="C47" i="53" s="1"/>
  <c r="B103" i="53"/>
  <c r="E103" i="53" s="1"/>
  <c r="B135" i="53"/>
  <c r="E135" i="53" s="1"/>
  <c r="B103" i="54"/>
  <c r="E103" i="54" s="1"/>
  <c r="B123" i="54"/>
  <c r="E123" i="54" s="1"/>
  <c r="B19" i="54" s="1"/>
  <c r="B57" i="62"/>
  <c r="E57" i="62" s="1"/>
  <c r="B57" i="63"/>
  <c r="E57" i="63" s="1"/>
  <c r="B154" i="54"/>
  <c r="E154" i="54" s="1"/>
  <c r="B93" i="54"/>
  <c r="E93" i="54" s="1"/>
  <c r="J68" i="52"/>
  <c r="C52" i="52"/>
  <c r="D211" i="75" a="1"/>
  <c r="C211" i="74" a="1"/>
  <c r="D211" i="74" a="1"/>
  <c r="C211" i="75" a="1"/>
  <c r="C211" i="52" a="1"/>
  <c r="D211" i="52" a="1"/>
  <c r="B219" i="74" l="1"/>
  <c r="B219" i="75"/>
  <c r="B211" i="75"/>
  <c r="B211" i="74"/>
  <c r="C211" i="75"/>
  <c r="D211" i="75"/>
  <c r="E211" i="75" s="1"/>
  <c r="C125" i="75" s="1"/>
  <c r="C211" i="74"/>
  <c r="E211" i="74" s="1"/>
  <c r="C125" i="74" s="1"/>
  <c r="D211" i="74"/>
  <c r="G12" i="66"/>
  <c r="E12" i="66"/>
  <c r="F12" i="66"/>
  <c r="D12" i="66"/>
  <c r="C12" i="66"/>
  <c r="F8" i="66"/>
  <c r="F60" i="66" s="1"/>
  <c r="D8" i="66"/>
  <c r="D60" i="66" s="1"/>
  <c r="C8" i="66"/>
  <c r="E8" i="66"/>
  <c r="E60" i="66" s="1"/>
  <c r="G8" i="66"/>
  <c r="G60" i="66" s="1"/>
  <c r="B43" i="68"/>
  <c r="B71" i="68"/>
  <c r="B20" i="68"/>
  <c r="B22" i="68" s="1"/>
  <c r="B23" i="68" s="1"/>
  <c r="B27" i="68" s="1"/>
  <c r="B26" i="68"/>
  <c r="E8" i="67"/>
  <c r="E60" i="67" s="1"/>
  <c r="F8" i="67"/>
  <c r="F60" i="67" s="1"/>
  <c r="D8" i="67"/>
  <c r="D60" i="67" s="1"/>
  <c r="C8" i="67"/>
  <c r="G8" i="67"/>
  <c r="G60" i="67" s="1"/>
  <c r="B20" i="69"/>
  <c r="B22" i="69" s="1"/>
  <c r="B23" i="69" s="1"/>
  <c r="B27" i="69" s="1"/>
  <c r="B43" i="69"/>
  <c r="B71" i="69"/>
  <c r="B26" i="69"/>
  <c r="F12" i="67"/>
  <c r="G12" i="67"/>
  <c r="C12" i="67"/>
  <c r="E12" i="67"/>
  <c r="D12" i="67"/>
  <c r="I16" i="59"/>
  <c r="B28" i="59" s="1"/>
  <c r="C211" i="52"/>
  <c r="D211" i="52"/>
  <c r="B71" i="54"/>
  <c r="B211" i="52"/>
  <c r="E211" i="52" s="1"/>
  <c r="C125" i="52" s="1"/>
  <c r="B43" i="54"/>
  <c r="J4" i="62"/>
  <c r="J5" i="62"/>
  <c r="J6" i="62"/>
  <c r="J7" i="62"/>
  <c r="J8" i="62"/>
  <c r="J9" i="62"/>
  <c r="J10" i="62"/>
  <c r="J11" i="62"/>
  <c r="J12" i="62"/>
  <c r="J13" i="62"/>
  <c r="J14" i="62"/>
  <c r="J15" i="62"/>
  <c r="J3" i="62"/>
  <c r="H12" i="67" l="1"/>
  <c r="U1" i="67" s="1"/>
  <c r="U12" i="67" s="1"/>
  <c r="B34" i="69"/>
  <c r="B25" i="69"/>
  <c r="B28" i="69" s="1"/>
  <c r="H12" i="66"/>
  <c r="U1" i="66" s="1"/>
  <c r="U10" i="66" s="1"/>
  <c r="B53" i="68"/>
  <c r="B54" i="68"/>
  <c r="B61" i="68"/>
  <c r="B34" i="68"/>
  <c r="H8" i="66"/>
  <c r="C60" i="66"/>
  <c r="B25" i="68"/>
  <c r="B28" i="68" s="1"/>
  <c r="B53" i="69"/>
  <c r="B61" i="69"/>
  <c r="B54" i="69"/>
  <c r="C60" i="67"/>
  <c r="H8" i="67"/>
  <c r="K4" i="63"/>
  <c r="K5" i="63"/>
  <c r="K6" i="63"/>
  <c r="K7" i="63"/>
  <c r="K8" i="63"/>
  <c r="K9" i="63"/>
  <c r="K10" i="63"/>
  <c r="K11" i="63"/>
  <c r="K12" i="63"/>
  <c r="K13" i="63"/>
  <c r="K14" i="63"/>
  <c r="K15" i="63"/>
  <c r="K16" i="63"/>
  <c r="K17" i="63"/>
  <c r="K18" i="63"/>
  <c r="K19" i="63"/>
  <c r="K20" i="63"/>
  <c r="K21" i="63"/>
  <c r="K22" i="63"/>
  <c r="K23" i="63"/>
  <c r="K24" i="63"/>
  <c r="K25" i="63"/>
  <c r="K26" i="63"/>
  <c r="K27" i="63"/>
  <c r="K28" i="63"/>
  <c r="K29" i="63"/>
  <c r="K30" i="63"/>
  <c r="K3" i="63"/>
  <c r="D212" i="75" a="1"/>
  <c r="D215" i="74" a="1"/>
  <c r="C212" i="75" a="1"/>
  <c r="D212" i="52" a="1"/>
  <c r="C215" i="75" a="1"/>
  <c r="C212" i="52" a="1"/>
  <c r="D215" i="75" a="1"/>
  <c r="D215" i="52" a="1"/>
  <c r="C215" i="74" a="1"/>
  <c r="D212" i="74" a="1"/>
  <c r="C212" i="74" a="1"/>
  <c r="C215" i="52" a="1"/>
  <c r="C215" i="75" l="1"/>
  <c r="D212" i="75"/>
  <c r="E212" i="75" s="1"/>
  <c r="C212" i="75"/>
  <c r="D215" i="75"/>
  <c r="E215" i="75" s="1"/>
  <c r="D116" i="75" s="1"/>
  <c r="C122" i="75" s="1"/>
  <c r="C215" i="74"/>
  <c r="E215" i="74" s="1"/>
  <c r="D116" i="74" s="1"/>
  <c r="C122" i="74" s="1"/>
  <c r="C212" i="74"/>
  <c r="E212" i="74" s="1"/>
  <c r="D212" i="74"/>
  <c r="D215" i="74"/>
  <c r="B30" i="69"/>
  <c r="U7" i="67"/>
  <c r="U28" i="67"/>
  <c r="U15" i="67"/>
  <c r="U5" i="67"/>
  <c r="U49" i="67"/>
  <c r="V49" i="67" s="1"/>
  <c r="U34" i="67"/>
  <c r="V34" i="67" s="1"/>
  <c r="U47" i="66"/>
  <c r="V47" i="66" s="1"/>
  <c r="U48" i="67"/>
  <c r="V48" i="67" s="1"/>
  <c r="U29" i="67"/>
  <c r="U8" i="67"/>
  <c r="U23" i="67"/>
  <c r="U25" i="67"/>
  <c r="U50" i="67"/>
  <c r="V50" i="67" s="1"/>
  <c r="U47" i="67"/>
  <c r="V47" i="67" s="1"/>
  <c r="U22" i="67"/>
  <c r="U37" i="67"/>
  <c r="V37" i="67" s="1"/>
  <c r="U27" i="67"/>
  <c r="U11" i="67"/>
  <c r="U38" i="67"/>
  <c r="V38" i="67" s="1"/>
  <c r="U21" i="67"/>
  <c r="U40" i="67"/>
  <c r="V40" i="67" s="1"/>
  <c r="U9" i="67"/>
  <c r="U31" i="67"/>
  <c r="U4" i="67"/>
  <c r="U45" i="67"/>
  <c r="V45" i="67" s="1"/>
  <c r="U40" i="66"/>
  <c r="V40" i="66" s="1"/>
  <c r="B32" i="69"/>
  <c r="U33" i="67"/>
  <c r="V33" i="67" s="1"/>
  <c r="U10" i="67"/>
  <c r="U16" i="67"/>
  <c r="U24" i="67"/>
  <c r="U17" i="67"/>
  <c r="U39" i="67"/>
  <c r="V39" i="67" s="1"/>
  <c r="U46" i="67"/>
  <c r="V46" i="67" s="1"/>
  <c r="U51" i="67"/>
  <c r="V51" i="67" s="1"/>
  <c r="U20" i="67"/>
  <c r="U6" i="67"/>
  <c r="U13" i="67"/>
  <c r="U43" i="67"/>
  <c r="V43" i="67" s="1"/>
  <c r="U44" i="67"/>
  <c r="V44" i="67" s="1"/>
  <c r="U36" i="67"/>
  <c r="V36" i="67" s="1"/>
  <c r="U14" i="67"/>
  <c r="U26" i="67"/>
  <c r="U32" i="67"/>
  <c r="V32" i="67" s="1"/>
  <c r="U30" i="67"/>
  <c r="U19" i="67"/>
  <c r="U41" i="67"/>
  <c r="V41" i="67" s="1"/>
  <c r="U18" i="67"/>
  <c r="U42" i="67"/>
  <c r="V42" i="67" s="1"/>
  <c r="U35" i="67"/>
  <c r="V35" i="67" s="1"/>
  <c r="U27" i="66"/>
  <c r="U46" i="66"/>
  <c r="V46" i="66" s="1"/>
  <c r="U26" i="66"/>
  <c r="U21" i="66"/>
  <c r="U20" i="66"/>
  <c r="U19" i="66"/>
  <c r="U35" i="66"/>
  <c r="V35" i="66" s="1"/>
  <c r="U34" i="66"/>
  <c r="V34" i="66" s="1"/>
  <c r="U12" i="66"/>
  <c r="U13" i="66"/>
  <c r="U17" i="66"/>
  <c r="U45" i="66"/>
  <c r="V45" i="66" s="1"/>
  <c r="U41" i="66"/>
  <c r="V41" i="66" s="1"/>
  <c r="U33" i="66"/>
  <c r="V33" i="66" s="1"/>
  <c r="U28" i="66"/>
  <c r="U8" i="66"/>
  <c r="U49" i="66"/>
  <c r="V49" i="66" s="1"/>
  <c r="U31" i="66"/>
  <c r="U42" i="66"/>
  <c r="V42" i="66" s="1"/>
  <c r="U18" i="66"/>
  <c r="U51" i="66"/>
  <c r="V51" i="66" s="1"/>
  <c r="B63" i="68"/>
  <c r="B65" i="68" s="1"/>
  <c r="U5" i="66"/>
  <c r="U44" i="66"/>
  <c r="V44" i="66" s="1"/>
  <c r="U23" i="66"/>
  <c r="U43" i="66"/>
  <c r="V43" i="66" s="1"/>
  <c r="U7" i="66"/>
  <c r="U6" i="66"/>
  <c r="U32" i="66"/>
  <c r="V32" i="66" s="1"/>
  <c r="U39" i="66"/>
  <c r="V39" i="66" s="1"/>
  <c r="U48" i="66"/>
  <c r="V48" i="66" s="1"/>
  <c r="U37" i="66"/>
  <c r="V37" i="66" s="1"/>
  <c r="U16" i="66"/>
  <c r="U4" i="66"/>
  <c r="U14" i="66"/>
  <c r="U15" i="66"/>
  <c r="U11" i="66"/>
  <c r="U36" i="66"/>
  <c r="V36" i="66" s="1"/>
  <c r="U38" i="66"/>
  <c r="V38" i="66" s="1"/>
  <c r="U30" i="66"/>
  <c r="U25" i="66"/>
  <c r="U29" i="66"/>
  <c r="U50" i="66"/>
  <c r="V50" i="66" s="1"/>
  <c r="U9" i="66"/>
  <c r="U22" i="66"/>
  <c r="U24" i="66"/>
  <c r="B55" i="69"/>
  <c r="B57" i="69" s="1"/>
  <c r="B55" i="68"/>
  <c r="B57" i="68" s="1"/>
  <c r="B63" i="69"/>
  <c r="B65" i="69" s="1"/>
  <c r="H60" i="66"/>
  <c r="B32" i="68"/>
  <c r="T1" i="66"/>
  <c r="AA1" i="66"/>
  <c r="B30" i="68"/>
  <c r="H60" i="67"/>
  <c r="T1" i="67"/>
  <c r="AA1" i="67"/>
  <c r="C215" i="52"/>
  <c r="C212" i="52"/>
  <c r="D212" i="52"/>
  <c r="D215" i="52"/>
  <c r="I38" i="52"/>
  <c r="J38" i="52" s="1"/>
  <c r="D213" i="75" a="1"/>
  <c r="C213" i="74" a="1"/>
  <c r="C199" i="52" a="1"/>
  <c r="D217" i="75" a="1"/>
  <c r="D213" i="52" a="1"/>
  <c r="C214" i="74" a="1"/>
  <c r="D214" i="52" a="1"/>
  <c r="D199" i="75" a="1"/>
  <c r="C217" i="75" a="1"/>
  <c r="D217" i="74" a="1"/>
  <c r="D217" i="52" a="1"/>
  <c r="C199" i="75" a="1"/>
  <c r="D199" i="74" a="1"/>
  <c r="D214" i="75" a="1"/>
  <c r="C213" i="52" a="1"/>
  <c r="C213" i="75" a="1"/>
  <c r="D199" i="52" a="1"/>
  <c r="C217" i="74" a="1"/>
  <c r="D213" i="74" a="1"/>
  <c r="C217" i="52" a="1"/>
  <c r="D214" i="74" a="1"/>
  <c r="C214" i="52" a="1"/>
  <c r="C199" i="74" a="1"/>
  <c r="C214" i="75" a="1"/>
  <c r="C213" i="75" l="1"/>
  <c r="C199" i="75"/>
  <c r="D213" i="75"/>
  <c r="E213" i="75" s="1"/>
  <c r="D214" i="75"/>
  <c r="E214" i="75" s="1"/>
  <c r="C217" i="75"/>
  <c r="D199" i="75"/>
  <c r="E199" i="75" s="1"/>
  <c r="C124" i="75" s="1"/>
  <c r="C214" i="75"/>
  <c r="D217" i="75"/>
  <c r="E217" i="75" s="1"/>
  <c r="C213" i="74"/>
  <c r="E213" i="74" s="1"/>
  <c r="D213" i="74"/>
  <c r="D214" i="74"/>
  <c r="C217" i="74"/>
  <c r="E217" i="74" s="1"/>
  <c r="D199" i="74"/>
  <c r="C214" i="74"/>
  <c r="E214" i="74" s="1"/>
  <c r="D217" i="74"/>
  <c r="C199" i="74"/>
  <c r="E199" i="74" s="1"/>
  <c r="C124" i="74" s="1"/>
  <c r="B38" i="69"/>
  <c r="B59" i="68"/>
  <c r="B59" i="69"/>
  <c r="C213" i="52"/>
  <c r="T23" i="66"/>
  <c r="V23" i="66" s="1"/>
  <c r="Y23" i="66" s="1"/>
  <c r="Z23" i="66" s="1"/>
  <c r="AB23" i="66" s="1"/>
  <c r="T9" i="66"/>
  <c r="V9" i="66" s="1"/>
  <c r="Y9" i="66" s="1"/>
  <c r="Z9" i="66" s="1"/>
  <c r="AB9" i="66" s="1"/>
  <c r="T19" i="66"/>
  <c r="V19" i="66" s="1"/>
  <c r="Y19" i="66" s="1"/>
  <c r="Z19" i="66" s="1"/>
  <c r="AB19" i="66" s="1"/>
  <c r="T26" i="66"/>
  <c r="V26" i="66" s="1"/>
  <c r="Y26" i="66" s="1"/>
  <c r="Z26" i="66" s="1"/>
  <c r="AB26" i="66" s="1"/>
  <c r="T5" i="66"/>
  <c r="V5" i="66" s="1"/>
  <c r="Y5" i="66" s="1"/>
  <c r="Z5" i="66" s="1"/>
  <c r="AB5" i="66" s="1"/>
  <c r="T25" i="66"/>
  <c r="V25" i="66" s="1"/>
  <c r="Y25" i="66" s="1"/>
  <c r="Z25" i="66" s="1"/>
  <c r="AB25" i="66" s="1"/>
  <c r="T8" i="66"/>
  <c r="V8" i="66" s="1"/>
  <c r="Y8" i="66" s="1"/>
  <c r="Z8" i="66" s="1"/>
  <c r="AB8" i="66" s="1"/>
  <c r="T14" i="66"/>
  <c r="V14" i="66" s="1"/>
  <c r="Y14" i="66" s="1"/>
  <c r="Z14" i="66" s="1"/>
  <c r="AB14" i="66" s="1"/>
  <c r="T29" i="66"/>
  <c r="V29" i="66" s="1"/>
  <c r="Y29" i="66" s="1"/>
  <c r="Z29" i="66" s="1"/>
  <c r="AB29" i="66" s="1"/>
  <c r="T10" i="66"/>
  <c r="V10" i="66" s="1"/>
  <c r="Y10" i="66" s="1"/>
  <c r="Z10" i="66" s="1"/>
  <c r="AB10" i="66" s="1"/>
  <c r="T30" i="66"/>
  <c r="V30" i="66" s="1"/>
  <c r="Y30" i="66" s="1"/>
  <c r="Z30" i="66" s="1"/>
  <c r="AB30" i="66" s="1"/>
  <c r="T11" i="66"/>
  <c r="V11" i="66" s="1"/>
  <c r="Y11" i="66" s="1"/>
  <c r="Z11" i="66" s="1"/>
  <c r="AB11" i="66" s="1"/>
  <c r="T27" i="66"/>
  <c r="V27" i="66" s="1"/>
  <c r="Y27" i="66" s="1"/>
  <c r="Z27" i="66" s="1"/>
  <c r="AB27" i="66" s="1"/>
  <c r="T4" i="66"/>
  <c r="V4" i="66" s="1"/>
  <c r="Y4" i="66" s="1"/>
  <c r="Z4" i="66" s="1"/>
  <c r="AB4" i="66" s="1"/>
  <c r="T17" i="66"/>
  <c r="V17" i="66" s="1"/>
  <c r="Y17" i="66" s="1"/>
  <c r="Z17" i="66" s="1"/>
  <c r="AB17" i="66" s="1"/>
  <c r="T22" i="66"/>
  <c r="V22" i="66" s="1"/>
  <c r="Y22" i="66" s="1"/>
  <c r="Z22" i="66" s="1"/>
  <c r="AB22" i="66" s="1"/>
  <c r="T31" i="66"/>
  <c r="V31" i="66" s="1"/>
  <c r="Y31" i="66" s="1"/>
  <c r="Z31" i="66" s="1"/>
  <c r="AB31" i="66" s="1"/>
  <c r="T18" i="66"/>
  <c r="V18" i="66" s="1"/>
  <c r="Y18" i="66" s="1"/>
  <c r="Z18" i="66" s="1"/>
  <c r="AB18" i="66" s="1"/>
  <c r="T16" i="66"/>
  <c r="V16" i="66" s="1"/>
  <c r="Y16" i="66" s="1"/>
  <c r="Z16" i="66" s="1"/>
  <c r="AB16" i="66" s="1"/>
  <c r="T12" i="66"/>
  <c r="V12" i="66" s="1"/>
  <c r="Y12" i="66" s="1"/>
  <c r="Z12" i="66" s="1"/>
  <c r="AB12" i="66" s="1"/>
  <c r="T13" i="66"/>
  <c r="V13" i="66" s="1"/>
  <c r="Y13" i="66" s="1"/>
  <c r="Z13" i="66" s="1"/>
  <c r="AB13" i="66" s="1"/>
  <c r="T24" i="66"/>
  <c r="V24" i="66" s="1"/>
  <c r="Y24" i="66" s="1"/>
  <c r="Z24" i="66" s="1"/>
  <c r="AB24" i="66" s="1"/>
  <c r="T7" i="66"/>
  <c r="V7" i="66" s="1"/>
  <c r="Y7" i="66" s="1"/>
  <c r="Z7" i="66" s="1"/>
  <c r="AB7" i="66" s="1"/>
  <c r="T20" i="66"/>
  <c r="V20" i="66" s="1"/>
  <c r="Y20" i="66" s="1"/>
  <c r="Z20" i="66" s="1"/>
  <c r="AB20" i="66" s="1"/>
  <c r="T6" i="66"/>
  <c r="V6" i="66" s="1"/>
  <c r="Y6" i="66" s="1"/>
  <c r="Z6" i="66" s="1"/>
  <c r="AB6" i="66" s="1"/>
  <c r="T15" i="66"/>
  <c r="V15" i="66" s="1"/>
  <c r="Y15" i="66" s="1"/>
  <c r="Z15" i="66" s="1"/>
  <c r="AB15" i="66" s="1"/>
  <c r="T21" i="66"/>
  <c r="V21" i="66" s="1"/>
  <c r="Y21" i="66" s="1"/>
  <c r="Z21" i="66" s="1"/>
  <c r="AB21" i="66" s="1"/>
  <c r="T28" i="66"/>
  <c r="V28" i="66" s="1"/>
  <c r="Y28" i="66" s="1"/>
  <c r="Z28" i="66" s="1"/>
  <c r="AB28" i="66" s="1"/>
  <c r="AA10" i="66"/>
  <c r="AA7" i="66"/>
  <c r="AA24" i="66"/>
  <c r="AA29" i="66"/>
  <c r="AA4" i="66"/>
  <c r="AA26" i="66"/>
  <c r="AA27" i="66"/>
  <c r="AA25" i="66"/>
  <c r="AA18" i="66"/>
  <c r="AA15" i="66"/>
  <c r="AA12" i="66"/>
  <c r="AA13" i="66"/>
  <c r="AA11" i="66"/>
  <c r="AA8" i="66"/>
  <c r="AA22" i="66"/>
  <c r="AA23" i="66"/>
  <c r="AA17" i="66"/>
  <c r="AA5" i="66"/>
  <c r="AA31" i="66"/>
  <c r="AA19" i="66"/>
  <c r="AA30" i="66"/>
  <c r="AA21" i="66"/>
  <c r="AA14" i="66"/>
  <c r="AA9" i="66"/>
  <c r="AA6" i="66"/>
  <c r="AA20" i="66"/>
  <c r="AA28" i="66"/>
  <c r="AA16" i="66"/>
  <c r="B38" i="68"/>
  <c r="T6" i="67"/>
  <c r="V6" i="67" s="1"/>
  <c r="Y6" i="67" s="1"/>
  <c r="Z6" i="67" s="1"/>
  <c r="AB6" i="67" s="1"/>
  <c r="T17" i="67"/>
  <c r="V17" i="67" s="1"/>
  <c r="Y17" i="67" s="1"/>
  <c r="Z17" i="67" s="1"/>
  <c r="AB17" i="67" s="1"/>
  <c r="T19" i="67"/>
  <c r="V19" i="67" s="1"/>
  <c r="Y19" i="67" s="1"/>
  <c r="Z19" i="67" s="1"/>
  <c r="AB19" i="67" s="1"/>
  <c r="T12" i="67"/>
  <c r="V12" i="67" s="1"/>
  <c r="Y12" i="67" s="1"/>
  <c r="Z12" i="67" s="1"/>
  <c r="AB12" i="67" s="1"/>
  <c r="T28" i="67"/>
  <c r="V28" i="67" s="1"/>
  <c r="Y28" i="67" s="1"/>
  <c r="Z28" i="67" s="1"/>
  <c r="AB28" i="67" s="1"/>
  <c r="T7" i="67"/>
  <c r="V7" i="67" s="1"/>
  <c r="Y7" i="67" s="1"/>
  <c r="Z7" i="67" s="1"/>
  <c r="AB7" i="67" s="1"/>
  <c r="T22" i="67"/>
  <c r="V22" i="67" s="1"/>
  <c r="Y22" i="67" s="1"/>
  <c r="Z22" i="67" s="1"/>
  <c r="AB22" i="67" s="1"/>
  <c r="T24" i="67"/>
  <c r="V24" i="67" s="1"/>
  <c r="Y24" i="67" s="1"/>
  <c r="Z24" i="67" s="1"/>
  <c r="AB24" i="67" s="1"/>
  <c r="T9" i="67"/>
  <c r="V9" i="67" s="1"/>
  <c r="Y9" i="67" s="1"/>
  <c r="Z9" i="67" s="1"/>
  <c r="AB9" i="67" s="1"/>
  <c r="T5" i="67"/>
  <c r="V5" i="67" s="1"/>
  <c r="Y5" i="67" s="1"/>
  <c r="Z5" i="67" s="1"/>
  <c r="AB5" i="67" s="1"/>
  <c r="T8" i="67"/>
  <c r="V8" i="67" s="1"/>
  <c r="Y8" i="67" s="1"/>
  <c r="Z8" i="67" s="1"/>
  <c r="AB8" i="67" s="1"/>
  <c r="T30" i="67"/>
  <c r="V30" i="67" s="1"/>
  <c r="Y30" i="67" s="1"/>
  <c r="Z30" i="67" s="1"/>
  <c r="AB30" i="67" s="1"/>
  <c r="T25" i="67"/>
  <c r="V25" i="67" s="1"/>
  <c r="Y25" i="67" s="1"/>
  <c r="Z25" i="67" s="1"/>
  <c r="AB25" i="67" s="1"/>
  <c r="T4" i="67"/>
  <c r="V4" i="67" s="1"/>
  <c r="Y4" i="67" s="1"/>
  <c r="Z4" i="67" s="1"/>
  <c r="AB4" i="67" s="1"/>
  <c r="T21" i="67"/>
  <c r="V21" i="67" s="1"/>
  <c r="Y21" i="67" s="1"/>
  <c r="Z21" i="67" s="1"/>
  <c r="AB21" i="67" s="1"/>
  <c r="T23" i="67"/>
  <c r="V23" i="67" s="1"/>
  <c r="Y23" i="67" s="1"/>
  <c r="Z23" i="67" s="1"/>
  <c r="AB23" i="67" s="1"/>
  <c r="T31" i="67"/>
  <c r="V31" i="67" s="1"/>
  <c r="Y31" i="67" s="1"/>
  <c r="Z31" i="67" s="1"/>
  <c r="AB31" i="67" s="1"/>
  <c r="T18" i="67"/>
  <c r="V18" i="67" s="1"/>
  <c r="Y18" i="67" s="1"/>
  <c r="Z18" i="67" s="1"/>
  <c r="AB18" i="67" s="1"/>
  <c r="T16" i="67"/>
  <c r="V16" i="67" s="1"/>
  <c r="Y16" i="67" s="1"/>
  <c r="Z16" i="67" s="1"/>
  <c r="AB16" i="67" s="1"/>
  <c r="T26" i="67"/>
  <c r="V26" i="67" s="1"/>
  <c r="Y26" i="67" s="1"/>
  <c r="Z26" i="67" s="1"/>
  <c r="AB26" i="67" s="1"/>
  <c r="T27" i="67"/>
  <c r="V27" i="67" s="1"/>
  <c r="Y27" i="67" s="1"/>
  <c r="Z27" i="67" s="1"/>
  <c r="AB27" i="67" s="1"/>
  <c r="T10" i="67"/>
  <c r="V10" i="67" s="1"/>
  <c r="Y10" i="67" s="1"/>
  <c r="Z10" i="67" s="1"/>
  <c r="AB10" i="67" s="1"/>
  <c r="T14" i="67"/>
  <c r="V14" i="67" s="1"/>
  <c r="Y14" i="67" s="1"/>
  <c r="Z14" i="67" s="1"/>
  <c r="AB14" i="67" s="1"/>
  <c r="T20" i="67"/>
  <c r="V20" i="67" s="1"/>
  <c r="Y20" i="67" s="1"/>
  <c r="Z20" i="67" s="1"/>
  <c r="AB20" i="67" s="1"/>
  <c r="T29" i="67"/>
  <c r="V29" i="67" s="1"/>
  <c r="Y29" i="67" s="1"/>
  <c r="Z29" i="67" s="1"/>
  <c r="AB29" i="67" s="1"/>
  <c r="T15" i="67"/>
  <c r="V15" i="67" s="1"/>
  <c r="Y15" i="67" s="1"/>
  <c r="Z15" i="67" s="1"/>
  <c r="AB15" i="67" s="1"/>
  <c r="T11" i="67"/>
  <c r="V11" i="67" s="1"/>
  <c r="Y11" i="67" s="1"/>
  <c r="Z11" i="67" s="1"/>
  <c r="AB11" i="67" s="1"/>
  <c r="T13" i="67"/>
  <c r="V13" i="67" s="1"/>
  <c r="Y13" i="67" s="1"/>
  <c r="Z13" i="67" s="1"/>
  <c r="AB13" i="67" s="1"/>
  <c r="AA12" i="67"/>
  <c r="AA19" i="67"/>
  <c r="AA31" i="67"/>
  <c r="AA28" i="67"/>
  <c r="AA30" i="67"/>
  <c r="AA7" i="67"/>
  <c r="AA4" i="67"/>
  <c r="AA8" i="67"/>
  <c r="AA14" i="67"/>
  <c r="AA20" i="67"/>
  <c r="AA5" i="67"/>
  <c r="AA16" i="67"/>
  <c r="AA17" i="67"/>
  <c r="AA6" i="67"/>
  <c r="AA18" i="67"/>
  <c r="AA24" i="67"/>
  <c r="AA26" i="67"/>
  <c r="AA23" i="67"/>
  <c r="AA21" i="67"/>
  <c r="AA13" i="67"/>
  <c r="AA9" i="67"/>
  <c r="AA29" i="67"/>
  <c r="AA15" i="67"/>
  <c r="AA11" i="67"/>
  <c r="AA27" i="67"/>
  <c r="AA10" i="67"/>
  <c r="AA22" i="67"/>
  <c r="AA25" i="67"/>
  <c r="C217" i="52"/>
  <c r="C214" i="52"/>
  <c r="C199" i="52"/>
  <c r="D213" i="52"/>
  <c r="D199" i="52"/>
  <c r="D214" i="52"/>
  <c r="D217" i="52"/>
  <c r="B24" i="52"/>
  <c r="AC7" i="67" l="1"/>
  <c r="AC22" i="67"/>
  <c r="AC27" i="67"/>
  <c r="AC24" i="67"/>
  <c r="AC10" i="67"/>
  <c r="AC21" i="67"/>
  <c r="AC9" i="67"/>
  <c r="B106" i="69"/>
  <c r="B106" i="66"/>
  <c r="B106" i="68"/>
  <c r="B106" i="67"/>
  <c r="AC6" i="66"/>
  <c r="AC13" i="67"/>
  <c r="AC9" i="66"/>
  <c r="AC25" i="67"/>
  <c r="AC28" i="67"/>
  <c r="AC31" i="67"/>
  <c r="AC6" i="67"/>
  <c r="AC23" i="66"/>
  <c r="AC12" i="66"/>
  <c r="AC22" i="66"/>
  <c r="AC11" i="66"/>
  <c r="AC14" i="66"/>
  <c r="AC20" i="67"/>
  <c r="AC23" i="67"/>
  <c r="AC5" i="66"/>
  <c r="AC8" i="66"/>
  <c r="AC7" i="66"/>
  <c r="AC29" i="67"/>
  <c r="AC19" i="67"/>
  <c r="AC14" i="67"/>
  <c r="AC24" i="66"/>
  <c r="AC10" i="66"/>
  <c r="AC11" i="67"/>
  <c r="AC16" i="67"/>
  <c r="AC8" i="67"/>
  <c r="AC26" i="67"/>
  <c r="AC17" i="67"/>
  <c r="AC30" i="67"/>
  <c r="AC12" i="67"/>
  <c r="AC28" i="66"/>
  <c r="AC21" i="66"/>
  <c r="AC16" i="66"/>
  <c r="AC17" i="66"/>
  <c r="AC30" i="66"/>
  <c r="AC19" i="66"/>
  <c r="AC15" i="66"/>
  <c r="AC25" i="66"/>
  <c r="AC15" i="67"/>
  <c r="AC18" i="67"/>
  <c r="AC5" i="67"/>
  <c r="AC4" i="67"/>
  <c r="AC18" i="66"/>
  <c r="AC4" i="66"/>
  <c r="AC13" i="66"/>
  <c r="AC31" i="66"/>
  <c r="AC27" i="66"/>
  <c r="AC29" i="66"/>
  <c r="AC20" i="66"/>
  <c r="AC26" i="66"/>
  <c r="B106" i="53"/>
  <c r="E106" i="53" s="1"/>
  <c r="C30" i="53" s="1"/>
  <c r="B26" i="52"/>
  <c r="B106" i="54"/>
  <c r="E106" i="54" s="1"/>
  <c r="A54" i="52"/>
  <c r="D53" i="52"/>
  <c r="E53" i="52"/>
  <c r="G53" i="52"/>
  <c r="C53" i="52"/>
  <c r="F53" i="52"/>
  <c r="H38" i="52"/>
  <c r="J39" i="52" s="1"/>
  <c r="C42" i="52"/>
  <c r="C61" i="67" l="1"/>
  <c r="C62" i="67" s="1"/>
  <c r="D61" i="67"/>
  <c r="D75" i="67" s="1"/>
  <c r="C61" i="66"/>
  <c r="C62" i="66" s="1"/>
  <c r="D61" i="66"/>
  <c r="D75" i="66" s="1"/>
  <c r="G61" i="67"/>
  <c r="G62" i="67" s="1"/>
  <c r="G61" i="66"/>
  <c r="G75" i="66" s="1"/>
  <c r="E61" i="67"/>
  <c r="E75" i="67" s="1"/>
  <c r="F61" i="67"/>
  <c r="F62" i="67" s="1"/>
  <c r="F61" i="66"/>
  <c r="F75" i="66" s="1"/>
  <c r="E61" i="66"/>
  <c r="E75" i="66" s="1"/>
  <c r="B108" i="69"/>
  <c r="B108" i="66"/>
  <c r="B108" i="68"/>
  <c r="B108" i="67"/>
  <c r="B131" i="67"/>
  <c r="B131" i="66"/>
  <c r="B108" i="54"/>
  <c r="E108" i="54" s="1"/>
  <c r="B108" i="53"/>
  <c r="B131" i="53"/>
  <c r="J41" i="52"/>
  <c r="J40" i="52"/>
  <c r="C75" i="67" l="1"/>
  <c r="D62" i="67"/>
  <c r="H61" i="67"/>
  <c r="H62" i="67" s="1"/>
  <c r="C75" i="66"/>
  <c r="H75" i="66" s="1"/>
  <c r="H61" i="66"/>
  <c r="H62" i="66" s="1"/>
  <c r="G62" i="66"/>
  <c r="E62" i="66"/>
  <c r="D62" i="66"/>
  <c r="E62" i="67"/>
  <c r="G75" i="67"/>
  <c r="F62" i="66"/>
  <c r="F75" i="67"/>
  <c r="G42" i="52"/>
  <c r="C203" i="75" a="1"/>
  <c r="C203" i="74" a="1"/>
  <c r="H75" i="67" l="1"/>
  <c r="C203" i="75"/>
  <c r="C203" i="74"/>
  <c r="E203" i="74" s="1"/>
  <c r="D115" i="74" s="1"/>
  <c r="C121" i="74" s="1"/>
  <c r="L158" i="53"/>
  <c r="I158" i="53"/>
  <c r="L154" i="53"/>
  <c r="I154" i="53"/>
  <c r="H155" i="53"/>
  <c r="D203" i="52" a="1"/>
  <c r="C203" i="52" a="1"/>
  <c r="D203" i="74" a="1"/>
  <c r="D203" i="75" a="1"/>
  <c r="D203" i="74" l="1"/>
  <c r="D203" i="75"/>
  <c r="E203" i="75" s="1"/>
  <c r="B115" i="74"/>
  <c r="H160" i="53"/>
  <c r="I160" i="53"/>
  <c r="L160" i="53"/>
  <c r="C203" i="52"/>
  <c r="D203" i="52"/>
  <c r="L159" i="53"/>
  <c r="J158" i="53"/>
  <c r="H159" i="53"/>
  <c r="I159" i="53"/>
  <c r="L155" i="53"/>
  <c r="H156" i="53"/>
  <c r="I155" i="53"/>
  <c r="C54" i="59" a="1"/>
  <c r="C162" i="69" a="1"/>
  <c r="C162" i="68" a="1"/>
  <c r="D207" i="52" a="1"/>
  <c r="C54" i="59" l="1"/>
  <c r="C60" i="59" s="1"/>
  <c r="D115" i="75"/>
  <c r="C121" i="75" s="1"/>
  <c r="B115" i="75"/>
  <c r="C162" i="68"/>
  <c r="E162" i="68" s="1"/>
  <c r="C162" i="69"/>
  <c r="J155" i="53"/>
  <c r="J154" i="53"/>
  <c r="D207" i="52"/>
  <c r="J160" i="53"/>
  <c r="K158" i="53"/>
  <c r="J159" i="53"/>
  <c r="L156" i="53"/>
  <c r="J156" i="53"/>
  <c r="I156" i="53"/>
  <c r="K154" i="53"/>
  <c r="J16" i="62"/>
  <c r="D16" i="62"/>
  <c r="C16" i="62"/>
  <c r="B16" i="62"/>
  <c r="A19" i="62"/>
  <c r="D54" i="59" a="1"/>
  <c r="D162" i="69" a="1"/>
  <c r="D158" i="54" a="1"/>
  <c r="D162" i="68" a="1"/>
  <c r="D162" i="54" a="1"/>
  <c r="C162" i="54" a="1"/>
  <c r="D54" i="59" l="1"/>
  <c r="D60" i="59" s="1"/>
  <c r="D31" i="59" s="1"/>
  <c r="D162" i="69"/>
  <c r="E162" i="69" s="1"/>
  <c r="D162" i="68"/>
  <c r="D162" i="54"/>
  <c r="B232" i="75"/>
  <c r="B232" i="74"/>
  <c r="B233" i="75"/>
  <c r="B233" i="74"/>
  <c r="B234" i="75"/>
  <c r="B234" i="74"/>
  <c r="B235" i="75"/>
  <c r="B235" i="74"/>
  <c r="D158" i="54"/>
  <c r="B233" i="52"/>
  <c r="E233" i="52" s="1"/>
  <c r="G68" i="52" s="1"/>
  <c r="B234" i="52"/>
  <c r="E234" i="52" s="1"/>
  <c r="G69" i="52" s="1"/>
  <c r="B235" i="52"/>
  <c r="E235" i="52" s="1"/>
  <c r="D68" i="52" s="1"/>
  <c r="B232" i="52"/>
  <c r="E232" i="52" s="1"/>
  <c r="G67" i="52" s="1"/>
  <c r="C162" i="54"/>
  <c r="K155" i="53"/>
  <c r="B31" i="63"/>
  <c r="E31" i="63"/>
  <c r="D31" i="63"/>
  <c r="C31" i="63"/>
  <c r="K31" i="63"/>
  <c r="A33" i="63"/>
  <c r="B225" i="75" l="1"/>
  <c r="B225" i="74"/>
  <c r="B226" i="74"/>
  <c r="B226" i="75"/>
  <c r="B229" i="75"/>
  <c r="B229" i="74"/>
  <c r="B227" i="74"/>
  <c r="B227" i="75"/>
  <c r="B228" i="75"/>
  <c r="B228" i="74"/>
  <c r="B226" i="52"/>
  <c r="E226" i="52" s="1"/>
  <c r="G15" i="52" s="1"/>
  <c r="B227" i="52"/>
  <c r="E227" i="52" s="1"/>
  <c r="G16" i="52" s="1"/>
  <c r="B228" i="52"/>
  <c r="E228" i="52" s="1"/>
  <c r="G17" i="52" s="1"/>
  <c r="B229" i="52"/>
  <c r="E229" i="52" s="1"/>
  <c r="D14" i="52" s="1"/>
  <c r="B225" i="52"/>
  <c r="E225" i="52" s="1"/>
  <c r="G14" i="52" s="1"/>
  <c r="K156" i="53"/>
  <c r="K160" i="53" l="1"/>
  <c r="K159" i="53"/>
  <c r="B24" i="59"/>
  <c r="B26" i="59" l="1"/>
  <c r="AE3" i="52" l="1"/>
  <c r="AE4" i="52"/>
  <c r="AE5" i="52"/>
  <c r="AE2" i="52"/>
  <c r="B124" i="53" l="1"/>
  <c r="E124" i="53" s="1"/>
  <c r="B126" i="53"/>
  <c r="E126" i="53" s="1"/>
  <c r="B123" i="53"/>
  <c r="E123" i="53" s="1"/>
  <c r="E125" i="53"/>
  <c r="B125" i="53"/>
  <c r="I37" i="53"/>
  <c r="B85" i="52" l="1"/>
  <c r="B83" i="52"/>
  <c r="B137" i="68" l="1"/>
  <c r="B137" i="69"/>
  <c r="B135" i="68"/>
  <c r="B135" i="69"/>
  <c r="B135" i="54"/>
  <c r="E135" i="54" s="1"/>
  <c r="B9" i="54" s="1"/>
  <c r="B137" i="54"/>
  <c r="E137" i="54" s="1"/>
  <c r="B31" i="52"/>
  <c r="B113" i="69" l="1"/>
  <c r="B113" i="67"/>
  <c r="B113" i="68"/>
  <c r="B113" i="66"/>
  <c r="B36" i="54"/>
  <c r="B12" i="54"/>
  <c r="B113" i="53"/>
  <c r="E113" i="53"/>
  <c r="B113" i="54"/>
  <c r="E113" i="54" s="1"/>
  <c r="G65" i="52"/>
  <c r="B209" i="74" l="1"/>
  <c r="B209" i="75"/>
  <c r="B216" i="74"/>
  <c r="B216" i="75"/>
  <c r="B216" i="52"/>
  <c r="E216" i="52" s="1"/>
  <c r="B112" i="52" s="1"/>
  <c r="G56" i="52"/>
  <c r="F56" i="52"/>
  <c r="E56" i="52"/>
  <c r="D56" i="52"/>
  <c r="C56" i="52"/>
  <c r="G48" i="52"/>
  <c r="F48" i="52"/>
  <c r="E48" i="52"/>
  <c r="D48" i="52"/>
  <c r="C48" i="52"/>
  <c r="F44" i="52"/>
  <c r="D44" i="52"/>
  <c r="E44" i="52"/>
  <c r="G44" i="52"/>
  <c r="C44" i="52"/>
  <c r="A57" i="52"/>
  <c r="A53" i="52"/>
  <c r="A49" i="52"/>
  <c r="A45" i="52"/>
  <c r="B43" i="52"/>
  <c r="B42" i="52"/>
  <c r="A38" i="52"/>
  <c r="D38" i="52"/>
  <c r="A131" i="66" l="1"/>
  <c r="E131" i="66" s="1"/>
  <c r="K44" i="66" s="1"/>
  <c r="J44" i="66" s="1"/>
  <c r="C44" i="66" s="1"/>
  <c r="A131" i="67"/>
  <c r="E131" i="67" s="1"/>
  <c r="K44" i="67" s="1"/>
  <c r="J44" i="67" s="1"/>
  <c r="C44" i="67" s="1"/>
  <c r="B159" i="69"/>
  <c r="B159" i="68"/>
  <c r="A131" i="53"/>
  <c r="E131" i="53" s="1"/>
  <c r="K44" i="53" s="1"/>
  <c r="B41" i="52"/>
  <c r="A130" i="53" s="1"/>
  <c r="B40" i="52"/>
  <c r="A129" i="53" s="1"/>
  <c r="B39" i="52"/>
  <c r="A128" i="53" s="1"/>
  <c r="B38" i="52"/>
  <c r="A127" i="53" s="1"/>
  <c r="C45" i="67" l="1"/>
  <c r="C52" i="67" s="1"/>
  <c r="C54" i="67" s="1"/>
  <c r="D46" i="67"/>
  <c r="D53" i="67" s="1"/>
  <c r="D55" i="67" s="1"/>
  <c r="C46" i="67"/>
  <c r="C53" i="67" s="1"/>
  <c r="C55" i="67" s="1"/>
  <c r="G46" i="67"/>
  <c r="G53" i="67" s="1"/>
  <c r="G55" i="67" s="1"/>
  <c r="E45" i="67"/>
  <c r="E52" i="67" s="1"/>
  <c r="E54" i="67" s="1"/>
  <c r="D45" i="67"/>
  <c r="D52" i="67" s="1"/>
  <c r="D54" i="67" s="1"/>
  <c r="G45" i="67"/>
  <c r="G52" i="67" s="1"/>
  <c r="G54" i="67" s="1"/>
  <c r="F45" i="67"/>
  <c r="F52" i="67" s="1"/>
  <c r="F54" i="67" s="1"/>
  <c r="F46" i="67"/>
  <c r="F53" i="67" s="1"/>
  <c r="F55" i="67" s="1"/>
  <c r="E46" i="67"/>
  <c r="E53" i="67" s="1"/>
  <c r="E55" i="67" s="1"/>
  <c r="D46" i="66"/>
  <c r="D53" i="66" s="1"/>
  <c r="D55" i="66" s="1"/>
  <c r="F46" i="66"/>
  <c r="F53" i="66" s="1"/>
  <c r="F55" i="66" s="1"/>
  <c r="F45" i="66"/>
  <c r="F52" i="66" s="1"/>
  <c r="F54" i="66" s="1"/>
  <c r="E46" i="66"/>
  <c r="E53" i="66" s="1"/>
  <c r="E55" i="66" s="1"/>
  <c r="G45" i="66"/>
  <c r="G52" i="66" s="1"/>
  <c r="G54" i="66" s="1"/>
  <c r="D45" i="66"/>
  <c r="D52" i="66" s="1"/>
  <c r="D54" i="66" s="1"/>
  <c r="G46" i="66"/>
  <c r="G53" i="66" s="1"/>
  <c r="G55" i="66" s="1"/>
  <c r="E45" i="66"/>
  <c r="E52" i="66" s="1"/>
  <c r="E54" i="66" s="1"/>
  <c r="C45" i="66"/>
  <c r="C52" i="66" s="1"/>
  <c r="C54" i="66" s="1"/>
  <c r="C46" i="66"/>
  <c r="C53" i="66" s="1"/>
  <c r="C55" i="66" s="1"/>
  <c r="A44" i="52"/>
  <c r="G38" i="52"/>
  <c r="A48" i="52"/>
  <c r="A56" i="52"/>
  <c r="I14" i="59"/>
  <c r="I15" i="59"/>
  <c r="G56" i="66" l="1"/>
  <c r="G80" i="66" s="1"/>
  <c r="F56" i="66"/>
  <c r="F80" i="66" s="1"/>
  <c r="F56" i="67"/>
  <c r="F80" i="67" s="1"/>
  <c r="G56" i="67"/>
  <c r="C56" i="67"/>
  <c r="E56" i="67"/>
  <c r="D56" i="67"/>
  <c r="E56" i="66"/>
  <c r="C56" i="66"/>
  <c r="D56" i="66"/>
  <c r="L15" i="59"/>
  <c r="E17" i="59" s="1"/>
  <c r="B65" i="59"/>
  <c r="B34" i="59" s="1"/>
  <c r="A139" i="53"/>
  <c r="E139" i="53" s="1"/>
  <c r="E127" i="53"/>
  <c r="A137" i="53"/>
  <c r="E137" i="53" s="1"/>
  <c r="E128" i="53"/>
  <c r="A140" i="53"/>
  <c r="E140" i="53" s="1"/>
  <c r="E130" i="53"/>
  <c r="A138" i="53"/>
  <c r="E138" i="53" s="1"/>
  <c r="E129" i="53"/>
  <c r="N12" i="52"/>
  <c r="L14" i="59"/>
  <c r="A62" i="52"/>
  <c r="A9" i="52"/>
  <c r="F73" i="52"/>
  <c r="E73" i="52"/>
  <c r="D73" i="52"/>
  <c r="C73" i="52"/>
  <c r="B73" i="52"/>
  <c r="F67" i="66" l="1"/>
  <c r="F69" i="66" s="1"/>
  <c r="G67" i="66"/>
  <c r="G79" i="66" s="1"/>
  <c r="G82" i="66" s="1"/>
  <c r="F67" i="67"/>
  <c r="F79" i="67" s="1"/>
  <c r="F82" i="67" s="1"/>
  <c r="C80" i="67"/>
  <c r="C67" i="67"/>
  <c r="G80" i="67"/>
  <c r="G67" i="67"/>
  <c r="D80" i="67"/>
  <c r="D67" i="67"/>
  <c r="E80" i="67"/>
  <c r="E67" i="67"/>
  <c r="E80" i="66"/>
  <c r="E67" i="66"/>
  <c r="D80" i="66"/>
  <c r="D67" i="66"/>
  <c r="C80" i="66"/>
  <c r="C67" i="66"/>
  <c r="B127" i="69"/>
  <c r="B127" i="68"/>
  <c r="B59" i="71"/>
  <c r="B91" i="69"/>
  <c r="B91" i="68"/>
  <c r="B59" i="73"/>
  <c r="B59" i="70"/>
  <c r="B91" i="67"/>
  <c r="B59" i="72"/>
  <c r="B91" i="66"/>
  <c r="F17" i="59"/>
  <c r="F16" i="59"/>
  <c r="E16" i="59"/>
  <c r="L161" i="53"/>
  <c r="K161" i="53"/>
  <c r="B127" i="54"/>
  <c r="E127" i="54" s="1"/>
  <c r="V11" i="54" s="1"/>
  <c r="B91" i="53"/>
  <c r="C28" i="53"/>
  <c r="C29" i="53" s="1"/>
  <c r="B155" i="53"/>
  <c r="G16" i="53"/>
  <c r="E16" i="53"/>
  <c r="F16" i="53"/>
  <c r="C16" i="53"/>
  <c r="D16" i="53"/>
  <c r="B154" i="53"/>
  <c r="D15" i="53"/>
  <c r="C15" i="53"/>
  <c r="G15" i="53"/>
  <c r="E15" i="53"/>
  <c r="F15" i="53"/>
  <c r="B157" i="53"/>
  <c r="F18" i="53"/>
  <c r="D18" i="53"/>
  <c r="E18" i="53"/>
  <c r="C18" i="53"/>
  <c r="G18" i="53"/>
  <c r="B156" i="53"/>
  <c r="D17" i="53"/>
  <c r="C17" i="53"/>
  <c r="E17" i="53"/>
  <c r="F17" i="53"/>
  <c r="G17" i="53"/>
  <c r="B59" i="63"/>
  <c r="E59" i="63" s="1"/>
  <c r="A32" i="63" s="1"/>
  <c r="B59" i="62"/>
  <c r="E59" i="62" s="1"/>
  <c r="E91" i="53"/>
  <c r="B91" i="54"/>
  <c r="E91" i="54" s="1"/>
  <c r="J157" i="53"/>
  <c r="I157" i="53"/>
  <c r="K157" i="53"/>
  <c r="H157" i="53"/>
  <c r="L157" i="53"/>
  <c r="G8" i="52"/>
  <c r="F8" i="52"/>
  <c r="E8" i="52"/>
  <c r="F79" i="66" l="1"/>
  <c r="F82" i="66" s="1"/>
  <c r="F69" i="67"/>
  <c r="G69" i="66"/>
  <c r="G79" i="67"/>
  <c r="G82" i="67" s="1"/>
  <c r="G69" i="67"/>
  <c r="E79" i="67"/>
  <c r="E82" i="67" s="1"/>
  <c r="E69" i="67"/>
  <c r="D79" i="67"/>
  <c r="D82" i="67" s="1"/>
  <c r="D69" i="67"/>
  <c r="H67" i="67"/>
  <c r="C79" i="67"/>
  <c r="C82" i="67" s="1"/>
  <c r="C69" i="67"/>
  <c r="D79" i="66"/>
  <c r="D82" i="66" s="1"/>
  <c r="D69" i="66"/>
  <c r="H67" i="66"/>
  <c r="C79" i="66"/>
  <c r="C82" i="66" s="1"/>
  <c r="C69" i="66"/>
  <c r="E79" i="66"/>
  <c r="E82" i="66" s="1"/>
  <c r="E69" i="66"/>
  <c r="B60" i="73"/>
  <c r="B60" i="72"/>
  <c r="V9" i="54"/>
  <c r="V8" i="54"/>
  <c r="B60" i="62"/>
  <c r="E60" i="62" s="1"/>
  <c r="A18" i="62" s="1"/>
  <c r="G31" i="53"/>
  <c r="D31" i="53"/>
  <c r="C31" i="53"/>
  <c r="E31" i="53"/>
  <c r="F31" i="53"/>
  <c r="G32" i="53"/>
  <c r="F32" i="53"/>
  <c r="D32" i="53"/>
  <c r="E32" i="53"/>
  <c r="C32" i="53"/>
  <c r="D156" i="53"/>
  <c r="E21" i="53" s="1"/>
  <c r="F156" i="53"/>
  <c r="G21" i="53" s="1"/>
  <c r="G156" i="53"/>
  <c r="C21" i="53" s="1"/>
  <c r="E156" i="53"/>
  <c r="F21" i="53" s="1"/>
  <c r="B160" i="53"/>
  <c r="C156" i="53"/>
  <c r="D21" i="53" s="1"/>
  <c r="C154" i="53"/>
  <c r="D19" i="53" s="1"/>
  <c r="D154" i="53"/>
  <c r="E19" i="53" s="1"/>
  <c r="F154" i="53"/>
  <c r="G19" i="53" s="1"/>
  <c r="B158" i="53"/>
  <c r="E154" i="53"/>
  <c r="F19" i="53" s="1"/>
  <c r="G154" i="53"/>
  <c r="C19" i="53" s="1"/>
  <c r="F157" i="53"/>
  <c r="G22" i="53" s="1"/>
  <c r="D157" i="53"/>
  <c r="E22" i="53" s="1"/>
  <c r="B161" i="53"/>
  <c r="G157" i="53"/>
  <c r="C22" i="53" s="1"/>
  <c r="E157" i="53"/>
  <c r="F22" i="53" s="1"/>
  <c r="C157" i="53"/>
  <c r="D22" i="53" s="1"/>
  <c r="E155" i="53"/>
  <c r="F20" i="53" s="1"/>
  <c r="G155" i="53"/>
  <c r="C20" i="53" s="1"/>
  <c r="B159" i="53"/>
  <c r="C155" i="53"/>
  <c r="D20" i="53" s="1"/>
  <c r="F155" i="53"/>
  <c r="G20" i="53" s="1"/>
  <c r="D155" i="53"/>
  <c r="E20" i="53" s="1"/>
  <c r="B109" i="52"/>
  <c r="C231" i="52" a="1"/>
  <c r="H69" i="67" l="1"/>
  <c r="H82" i="67"/>
  <c r="H82" i="66"/>
  <c r="H69" i="66"/>
  <c r="H71" i="66" s="1"/>
  <c r="H77" i="67"/>
  <c r="H79" i="67"/>
  <c r="H77" i="66"/>
  <c r="H79" i="66"/>
  <c r="B51" i="59"/>
  <c r="B156" i="68"/>
  <c r="B156" i="69"/>
  <c r="C231" i="52"/>
  <c r="C33" i="53"/>
  <c r="C34" i="53"/>
  <c r="D33" i="53"/>
  <c r="D34" i="53"/>
  <c r="G33" i="53"/>
  <c r="G34" i="53"/>
  <c r="E33" i="53"/>
  <c r="E34" i="53"/>
  <c r="F33" i="53"/>
  <c r="F34" i="53"/>
  <c r="C161" i="53"/>
  <c r="D26" i="53" s="1"/>
  <c r="F161" i="53"/>
  <c r="G26" i="53" s="1"/>
  <c r="E161" i="53"/>
  <c r="F26" i="53" s="1"/>
  <c r="G161" i="53"/>
  <c r="C26" i="53" s="1"/>
  <c r="D161" i="53"/>
  <c r="E26" i="53" s="1"/>
  <c r="C158" i="53"/>
  <c r="D23" i="53" s="1"/>
  <c r="E158" i="53"/>
  <c r="F23" i="53" s="1"/>
  <c r="F158" i="53"/>
  <c r="G23" i="53" s="1"/>
  <c r="G158" i="53"/>
  <c r="C23" i="53" s="1"/>
  <c r="D158" i="53"/>
  <c r="E23" i="53" s="1"/>
  <c r="D159" i="53"/>
  <c r="E24" i="53" s="1"/>
  <c r="F159" i="53"/>
  <c r="G24" i="53" s="1"/>
  <c r="E159" i="53"/>
  <c r="F24" i="53" s="1"/>
  <c r="G159" i="53"/>
  <c r="C24" i="53" s="1"/>
  <c r="C159" i="53"/>
  <c r="D24" i="53" s="1"/>
  <c r="D160" i="53"/>
  <c r="E25" i="53" s="1"/>
  <c r="F160" i="53"/>
  <c r="G25" i="53" s="1"/>
  <c r="E160" i="53"/>
  <c r="F25" i="53" s="1"/>
  <c r="G160" i="53"/>
  <c r="C25" i="53" s="1"/>
  <c r="C160" i="53"/>
  <c r="D25" i="53" s="1"/>
  <c r="B156" i="54"/>
  <c r="E156" i="54" s="1"/>
  <c r="C8" i="55"/>
  <c r="C4" i="55"/>
  <c r="C9" i="53"/>
  <c r="B30" i="52"/>
  <c r="C14" i="55"/>
  <c r="D9" i="53" s="1"/>
  <c r="C20" i="55"/>
  <c r="E9" i="53" s="1"/>
  <c r="C25" i="55"/>
  <c r="F9" i="53" s="1"/>
  <c r="C51" i="55"/>
  <c r="G9" i="53" s="1"/>
  <c r="G37" i="55"/>
  <c r="Q37" i="53"/>
  <c r="G38" i="55"/>
  <c r="Q38" i="53" s="1"/>
  <c r="G32" i="55"/>
  <c r="Q32" i="53"/>
  <c r="G33" i="55"/>
  <c r="Q33" i="53" s="1"/>
  <c r="G34" i="55"/>
  <c r="Q34" i="53" s="1"/>
  <c r="G35" i="55"/>
  <c r="Q35" i="53" s="1"/>
  <c r="G36" i="55"/>
  <c r="Q36" i="53" s="1"/>
  <c r="O5" i="53"/>
  <c r="G52" i="55"/>
  <c r="G51" i="55"/>
  <c r="G50" i="55"/>
  <c r="Q50" i="53" s="1"/>
  <c r="C50" i="55"/>
  <c r="G49" i="55"/>
  <c r="Q49" i="53" s="1"/>
  <c r="C49" i="55"/>
  <c r="G48" i="55"/>
  <c r="C48" i="55"/>
  <c r="G47" i="55"/>
  <c r="C47" i="55"/>
  <c r="G46" i="55"/>
  <c r="C46" i="55"/>
  <c r="G45" i="55"/>
  <c r="Q45" i="53" s="1"/>
  <c r="C45" i="55"/>
  <c r="G44" i="55"/>
  <c r="Q44" i="53" s="1"/>
  <c r="C44" i="55"/>
  <c r="G43" i="55"/>
  <c r="Q43" i="53" s="1"/>
  <c r="C43" i="55"/>
  <c r="G42" i="55"/>
  <c r="Q42" i="53" s="1"/>
  <c r="C42" i="55"/>
  <c r="G41" i="55"/>
  <c r="Q41" i="53" s="1"/>
  <c r="C41" i="55"/>
  <c r="G40" i="55"/>
  <c r="Q40" i="53" s="1"/>
  <c r="C40" i="55"/>
  <c r="G39" i="55"/>
  <c r="Q39" i="53" s="1"/>
  <c r="C39" i="55"/>
  <c r="C38" i="55"/>
  <c r="C37" i="55"/>
  <c r="C36" i="55"/>
  <c r="C35" i="55"/>
  <c r="C34" i="55"/>
  <c r="C33" i="55"/>
  <c r="C32" i="55"/>
  <c r="G31" i="55"/>
  <c r="C31" i="55"/>
  <c r="G30" i="55"/>
  <c r="C30" i="55"/>
  <c r="G29" i="55"/>
  <c r="C29" i="55"/>
  <c r="G28" i="55"/>
  <c r="Q28" i="53" s="1"/>
  <c r="C28" i="55"/>
  <c r="G27" i="55"/>
  <c r="Q27" i="53" s="1"/>
  <c r="C27" i="55"/>
  <c r="G26" i="55"/>
  <c r="C26" i="55"/>
  <c r="G25" i="55"/>
  <c r="Q25" i="53" s="1"/>
  <c r="G24" i="55"/>
  <c r="Q24" i="53" s="1"/>
  <c r="C24" i="55"/>
  <c r="G23" i="55"/>
  <c r="Q23" i="53" s="1"/>
  <c r="C23" i="55"/>
  <c r="G22" i="55"/>
  <c r="Q22" i="53" s="1"/>
  <c r="C22" i="55"/>
  <c r="G21" i="55"/>
  <c r="C21" i="55"/>
  <c r="G20" i="55"/>
  <c r="Q20" i="53" s="1"/>
  <c r="G19" i="55"/>
  <c r="Q19" i="53" s="1"/>
  <c r="C19" i="55"/>
  <c r="G18" i="55"/>
  <c r="Q18" i="53" s="1"/>
  <c r="C18" i="55"/>
  <c r="G17" i="55"/>
  <c r="C17" i="55"/>
  <c r="G16" i="55"/>
  <c r="C16" i="55"/>
  <c r="G15" i="55"/>
  <c r="Q15" i="53" s="1"/>
  <c r="C15" i="55"/>
  <c r="G14" i="55"/>
  <c r="Q14" i="53" s="1"/>
  <c r="G13" i="55"/>
  <c r="Q13" i="53" s="1"/>
  <c r="C13" i="55"/>
  <c r="G12" i="55"/>
  <c r="C12" i="55"/>
  <c r="G11" i="55"/>
  <c r="Q11" i="53" s="1"/>
  <c r="C11" i="55"/>
  <c r="G10" i="55"/>
  <c r="C10" i="55"/>
  <c r="G9" i="55"/>
  <c r="Q9" i="53" s="1"/>
  <c r="C9" i="55"/>
  <c r="G8" i="55"/>
  <c r="G7" i="55"/>
  <c r="Q7" i="53" s="1"/>
  <c r="C7" i="55"/>
  <c r="G6" i="55"/>
  <c r="Q6" i="53" s="1"/>
  <c r="C6" i="55"/>
  <c r="G5" i="55"/>
  <c r="C5" i="55"/>
  <c r="A5" i="55"/>
  <c r="G4" i="55"/>
  <c r="D4" i="55"/>
  <c r="T12" i="54"/>
  <c r="V12" i="54" s="1"/>
  <c r="V14" i="54" s="1"/>
  <c r="T11" i="54"/>
  <c r="T10" i="54"/>
  <c r="T9" i="54"/>
  <c r="T8" i="54"/>
  <c r="T7" i="54"/>
  <c r="Q51" i="53"/>
  <c r="Q48" i="53"/>
  <c r="Q47" i="53"/>
  <c r="Q46" i="53"/>
  <c r="Q31" i="53"/>
  <c r="Q30" i="53"/>
  <c r="Q29" i="53"/>
  <c r="Q26" i="53"/>
  <c r="Q21" i="53"/>
  <c r="Q17" i="53"/>
  <c r="Q16" i="53"/>
  <c r="Q12" i="53"/>
  <c r="Q10" i="53"/>
  <c r="Q8" i="53"/>
  <c r="Q5" i="53"/>
  <c r="F5" i="53"/>
  <c r="E5" i="53"/>
  <c r="D5" i="53"/>
  <c r="Q4" i="53"/>
  <c r="G4" i="53"/>
  <c r="F4" i="53"/>
  <c r="E4" i="53"/>
  <c r="C82" i="52"/>
  <c r="A82" i="52"/>
  <c r="G57" i="52"/>
  <c r="F57" i="52"/>
  <c r="E57" i="52"/>
  <c r="D57" i="52"/>
  <c r="C57" i="52"/>
  <c r="G49" i="52"/>
  <c r="F49" i="52"/>
  <c r="E49" i="52"/>
  <c r="D49" i="52"/>
  <c r="C49" i="52"/>
  <c r="G45" i="52"/>
  <c r="F45" i="52"/>
  <c r="E45" i="52"/>
  <c r="D45" i="52"/>
  <c r="C45" i="52"/>
  <c r="B72" i="52"/>
  <c r="E4" i="55"/>
  <c r="A6" i="55"/>
  <c r="D6" i="55" s="1"/>
  <c r="D5" i="55"/>
  <c r="E5" i="55" s="1"/>
  <c r="A7" i="55"/>
  <c r="A8" i="55" s="1"/>
  <c r="C201" i="75" a="1"/>
  <c r="C205" i="52" a="1"/>
  <c r="C201" i="52" a="1"/>
  <c r="D204" i="75" a="1"/>
  <c r="C205" i="75" a="1"/>
  <c r="D206" i="74" a="1"/>
  <c r="D200" i="52" a="1"/>
  <c r="C201" i="74" a="1"/>
  <c r="D200" i="75" a="1"/>
  <c r="C200" i="52" a="1"/>
  <c r="C205" i="74" a="1"/>
  <c r="D205" i="74" a="1"/>
  <c r="C206" i="74" a="1"/>
  <c r="D206" i="52" a="1"/>
  <c r="D205" i="75" a="1"/>
  <c r="D204" i="52" a="1"/>
  <c r="C204" i="52" a="1"/>
  <c r="C204" i="74" a="1"/>
  <c r="C200" i="75" a="1"/>
  <c r="C200" i="74" a="1"/>
  <c r="D204" i="74" a="1"/>
  <c r="D206" i="75" a="1"/>
  <c r="C204" i="75" a="1"/>
  <c r="D205" i="52" a="1"/>
  <c r="D200" i="74" a="1"/>
  <c r="C206" i="52" a="1"/>
  <c r="C206" i="75" a="1"/>
  <c r="D200" i="52" l="1"/>
  <c r="D200" i="74"/>
  <c r="D200" i="75"/>
  <c r="E200" i="75" s="1"/>
  <c r="H71" i="67"/>
  <c r="H73" i="67" s="1"/>
  <c r="D206" i="52"/>
  <c r="D206" i="74"/>
  <c r="D206" i="75"/>
  <c r="E206" i="75" s="1"/>
  <c r="C206" i="52"/>
  <c r="C206" i="74"/>
  <c r="E206" i="74" s="1"/>
  <c r="C206" i="75"/>
  <c r="C200" i="52"/>
  <c r="C200" i="74"/>
  <c r="E200" i="74" s="1"/>
  <c r="C200" i="75"/>
  <c r="B220" i="75"/>
  <c r="B220" i="74"/>
  <c r="D205" i="75"/>
  <c r="E205" i="75" s="1"/>
  <c r="D205" i="74"/>
  <c r="D205" i="52"/>
  <c r="D204" i="75"/>
  <c r="E204" i="75" s="1"/>
  <c r="F115" i="75" s="1"/>
  <c r="B121" i="75" s="1"/>
  <c r="D204" i="74"/>
  <c r="D204" i="52"/>
  <c r="C205" i="75"/>
  <c r="C205" i="74"/>
  <c r="E205" i="74" s="1"/>
  <c r="C205" i="52"/>
  <c r="C204" i="75"/>
  <c r="C204" i="74"/>
  <c r="E204" i="74" s="1"/>
  <c r="F115" i="74" s="1"/>
  <c r="B121" i="74" s="1"/>
  <c r="C204" i="52"/>
  <c r="C201" i="75"/>
  <c r="C201" i="74"/>
  <c r="E201" i="74" s="1"/>
  <c r="B106" i="74" s="1"/>
  <c r="C201" i="52"/>
  <c r="H73" i="66"/>
  <c r="A134" i="54"/>
  <c r="E134" i="54" s="1"/>
  <c r="A134" i="69"/>
  <c r="E134" i="69" s="1"/>
  <c r="A134" i="68"/>
  <c r="E134" i="68" s="1"/>
  <c r="B126" i="68"/>
  <c r="B126" i="69"/>
  <c r="B112" i="67"/>
  <c r="B112" i="69"/>
  <c r="B112" i="68"/>
  <c r="B112" i="66"/>
  <c r="B112" i="53"/>
  <c r="E112" i="53" s="1"/>
  <c r="F10" i="53" s="1"/>
  <c r="F35" i="53"/>
  <c r="F36" i="53"/>
  <c r="G35" i="53"/>
  <c r="G36" i="53"/>
  <c r="D35" i="53"/>
  <c r="D36" i="53"/>
  <c r="E35" i="53"/>
  <c r="E36" i="53"/>
  <c r="C35" i="53"/>
  <c r="C36" i="53"/>
  <c r="I68" i="52"/>
  <c r="B126" i="54"/>
  <c r="E126" i="54" s="1"/>
  <c r="B15" i="54" s="1"/>
  <c r="B112" i="54"/>
  <c r="E112" i="54" s="1"/>
  <c r="B21" i="54" s="1"/>
  <c r="O6" i="53"/>
  <c r="B159" i="54"/>
  <c r="E159" i="54" s="1"/>
  <c r="M4" i="53"/>
  <c r="D42" i="52"/>
  <c r="AN2" i="52" s="1"/>
  <c r="D24" i="52"/>
  <c r="AN1" i="52" s="1"/>
  <c r="A58" i="52"/>
  <c r="A52" i="52"/>
  <c r="A50" i="52"/>
  <c r="A46" i="52"/>
  <c r="E108" i="53"/>
  <c r="D8" i="55"/>
  <c r="A9" i="55"/>
  <c r="E6" i="55"/>
  <c r="D7" i="55"/>
  <c r="B7" i="54"/>
  <c r="C5" i="53"/>
  <c r="D4" i="53"/>
  <c r="D23" i="52"/>
  <c r="D25" i="52" s="1"/>
  <c r="B27" i="52"/>
  <c r="A96" i="52"/>
  <c r="H9" i="53"/>
  <c r="C48" i="59" a="1"/>
  <c r="C153" i="54" a="1"/>
  <c r="C202" i="52" a="1"/>
  <c r="C168" i="69" a="1"/>
  <c r="C202" i="75" a="1"/>
  <c r="D168" i="68" a="1"/>
  <c r="D168" i="69" a="1"/>
  <c r="D202" i="74" a="1"/>
  <c r="D201" i="52" a="1"/>
  <c r="C153" i="69" a="1"/>
  <c r="C153" i="68" a="1"/>
  <c r="D201" i="74" a="1"/>
  <c r="D168" i="54" a="1"/>
  <c r="D202" i="75" a="1"/>
  <c r="C168" i="54" a="1"/>
  <c r="D201" i="75" a="1"/>
  <c r="C168" i="68" a="1"/>
  <c r="C202" i="74" a="1"/>
  <c r="D202" i="52" a="1"/>
  <c r="C48" i="59" l="1"/>
  <c r="D201" i="52"/>
  <c r="D201" i="74"/>
  <c r="D201" i="75"/>
  <c r="E201" i="75" s="1"/>
  <c r="B106" i="75" s="1"/>
  <c r="D168" i="68"/>
  <c r="D168" i="69"/>
  <c r="E168" i="69" s="1"/>
  <c r="D168" i="54"/>
  <c r="D121" i="75"/>
  <c r="E121" i="75" s="1"/>
  <c r="H127" i="75" s="1"/>
  <c r="D202" i="75"/>
  <c r="E202" i="75" s="1"/>
  <c r="D202" i="74"/>
  <c r="D202" i="52"/>
  <c r="C153" i="69"/>
  <c r="C153" i="68"/>
  <c r="E153" i="68" s="1"/>
  <c r="C153" i="54"/>
  <c r="C168" i="68"/>
  <c r="E168" i="68" s="1"/>
  <c r="C168" i="69"/>
  <c r="C168" i="54"/>
  <c r="B124" i="74"/>
  <c r="D121" i="74"/>
  <c r="E121" i="74" s="1"/>
  <c r="H127" i="74" s="1"/>
  <c r="C202" i="75"/>
  <c r="C202" i="74"/>
  <c r="E202" i="74" s="1"/>
  <c r="C202" i="52"/>
  <c r="A146" i="69"/>
  <c r="E146" i="69" s="1"/>
  <c r="A146" i="68"/>
  <c r="E146" i="68" s="1"/>
  <c r="B109" i="69"/>
  <c r="B109" i="66"/>
  <c r="B109" i="68"/>
  <c r="B109" i="67"/>
  <c r="B57" i="59"/>
  <c r="B109" i="53"/>
  <c r="E109" i="53" s="1"/>
  <c r="G37" i="53" s="1"/>
  <c r="A146" i="54"/>
  <c r="E146" i="54" s="1"/>
  <c r="B75" i="54" s="1"/>
  <c r="B209" i="52"/>
  <c r="E209" i="52" s="1"/>
  <c r="B4" i="54"/>
  <c r="B48" i="54"/>
  <c r="B51" i="54" s="1"/>
  <c r="B109" i="54"/>
  <c r="E109" i="54" s="1"/>
  <c r="S4" i="53"/>
  <c r="S41" i="53"/>
  <c r="S15" i="53"/>
  <c r="S12" i="53"/>
  <c r="S49" i="53"/>
  <c r="S19" i="53"/>
  <c r="S28" i="53"/>
  <c r="S25" i="53"/>
  <c r="S7" i="53"/>
  <c r="S37" i="53"/>
  <c r="S33" i="53"/>
  <c r="S11" i="53"/>
  <c r="S13" i="53"/>
  <c r="S14" i="53"/>
  <c r="S31" i="53"/>
  <c r="S29" i="53"/>
  <c r="S18" i="53"/>
  <c r="S35" i="53"/>
  <c r="S45" i="53"/>
  <c r="S6" i="53"/>
  <c r="S23" i="53"/>
  <c r="S44" i="53"/>
  <c r="S10" i="53"/>
  <c r="S27" i="53"/>
  <c r="S24" i="53"/>
  <c r="S30" i="53"/>
  <c r="S47" i="53"/>
  <c r="S32" i="53"/>
  <c r="S34" i="53"/>
  <c r="S20" i="53"/>
  <c r="S8" i="53"/>
  <c r="S22" i="53"/>
  <c r="S39" i="53"/>
  <c r="S16" i="53"/>
  <c r="S26" i="53"/>
  <c r="S43" i="53"/>
  <c r="S51" i="53"/>
  <c r="S9" i="53"/>
  <c r="S46" i="53"/>
  <c r="S36" i="53"/>
  <c r="S17" i="53"/>
  <c r="S50" i="53"/>
  <c r="S5" i="53"/>
  <c r="S40" i="53"/>
  <c r="S38" i="53"/>
  <c r="S21" i="53"/>
  <c r="S48" i="53"/>
  <c r="S42" i="53"/>
  <c r="D10" i="53"/>
  <c r="E10" i="53"/>
  <c r="C10" i="53"/>
  <c r="G10" i="53"/>
  <c r="O7" i="53"/>
  <c r="J44" i="53"/>
  <c r="B28" i="52"/>
  <c r="A10" i="55"/>
  <c r="D9" i="55"/>
  <c r="E7" i="55"/>
  <c r="E8" i="55"/>
  <c r="D48" i="59" a="1"/>
  <c r="C171" i="69" a="1"/>
  <c r="D153" i="69" a="1"/>
  <c r="C171" i="68" a="1"/>
  <c r="D153" i="54" a="1"/>
  <c r="C171" i="54" a="1"/>
  <c r="D153" i="68" a="1"/>
  <c r="B218" i="75" l="1"/>
  <c r="B218" i="74"/>
  <c r="D48" i="59"/>
  <c r="B124" i="75"/>
  <c r="D124" i="75" s="1"/>
  <c r="E124" i="75" s="1"/>
  <c r="D153" i="54"/>
  <c r="D153" i="68"/>
  <c r="D153" i="69"/>
  <c r="E153" i="69" s="1"/>
  <c r="F121" i="75"/>
  <c r="C127" i="75"/>
  <c r="C171" i="69"/>
  <c r="C171" i="68"/>
  <c r="E171" i="68" s="1"/>
  <c r="C171" i="54"/>
  <c r="F121" i="74"/>
  <c r="C127" i="74"/>
  <c r="D124" i="74"/>
  <c r="E124" i="74" s="1"/>
  <c r="B127" i="74" s="1"/>
  <c r="B73" i="68"/>
  <c r="B75" i="68"/>
  <c r="B75" i="69"/>
  <c r="B73" i="69"/>
  <c r="B110" i="69"/>
  <c r="B110" i="66"/>
  <c r="B110" i="68"/>
  <c r="B110" i="67"/>
  <c r="B59" i="59"/>
  <c r="B30" i="59" s="1"/>
  <c r="B73" i="54"/>
  <c r="B218" i="52"/>
  <c r="B110" i="53"/>
  <c r="E110" i="53" s="1"/>
  <c r="F39" i="53" s="1"/>
  <c r="B17" i="54"/>
  <c r="E37" i="53"/>
  <c r="H10" i="53"/>
  <c r="C11" i="53" s="1"/>
  <c r="C12" i="53" s="1"/>
  <c r="F37" i="53"/>
  <c r="D37" i="53"/>
  <c r="C37" i="53"/>
  <c r="B110" i="54"/>
  <c r="E110" i="54" s="1"/>
  <c r="O8" i="53"/>
  <c r="B36" i="53"/>
  <c r="C43" i="53"/>
  <c r="C44" i="53" s="1"/>
  <c r="B33" i="53"/>
  <c r="B35" i="53"/>
  <c r="B31" i="53"/>
  <c r="D10" i="55"/>
  <c r="A11" i="55"/>
  <c r="E9" i="55"/>
  <c r="C66" i="52"/>
  <c r="C218" i="75" a="1"/>
  <c r="D218" i="75" a="1"/>
  <c r="D171" i="69" a="1"/>
  <c r="C218" i="74" a="1"/>
  <c r="C174" i="68" a="1"/>
  <c r="D218" i="52" a="1"/>
  <c r="D218" i="74" a="1"/>
  <c r="D171" i="54" a="1"/>
  <c r="C174" i="69" a="1"/>
  <c r="C218" i="52" a="1"/>
  <c r="D171" i="68" a="1"/>
  <c r="C174" i="54" a="1"/>
  <c r="D171" i="54" l="1"/>
  <c r="D171" i="68"/>
  <c r="D171" i="69"/>
  <c r="E171" i="69" s="1"/>
  <c r="B210" i="74"/>
  <c r="B210" i="75"/>
  <c r="F124" i="75"/>
  <c r="G127" i="75"/>
  <c r="B127" i="75"/>
  <c r="C174" i="69"/>
  <c r="C174" i="68"/>
  <c r="E174" i="68" s="1"/>
  <c r="C174" i="54"/>
  <c r="E127" i="74"/>
  <c r="F127" i="74" s="1"/>
  <c r="G127" i="74"/>
  <c r="F124" i="74"/>
  <c r="D218" i="75"/>
  <c r="E218" i="75" s="1"/>
  <c r="B108" i="75" s="1"/>
  <c r="C218" i="75"/>
  <c r="D218" i="74"/>
  <c r="C218" i="74"/>
  <c r="E218" i="74" s="1"/>
  <c r="B108" i="74" s="1"/>
  <c r="B77" i="68"/>
  <c r="B79" i="68" s="1"/>
  <c r="B81" i="68"/>
  <c r="B83" i="68" s="1"/>
  <c r="B85" i="68" s="1"/>
  <c r="B77" i="69"/>
  <c r="B79" i="69" s="1"/>
  <c r="B81" i="69"/>
  <c r="B83" i="69" s="1"/>
  <c r="B85" i="69" s="1"/>
  <c r="D218" i="52"/>
  <c r="C218" i="52"/>
  <c r="B210" i="52"/>
  <c r="E210" i="52" s="1"/>
  <c r="D11" i="53"/>
  <c r="D12" i="53" s="1"/>
  <c r="G11" i="53"/>
  <c r="G12" i="53" s="1"/>
  <c r="F11" i="53"/>
  <c r="F12" i="53" s="1"/>
  <c r="E11" i="53"/>
  <c r="E12" i="53" s="1"/>
  <c r="B219" i="52"/>
  <c r="E219" i="52" s="1"/>
  <c r="B220" i="52"/>
  <c r="E220" i="52" s="1"/>
  <c r="W6" i="53"/>
  <c r="D39" i="53"/>
  <c r="E39" i="53"/>
  <c r="W5" i="53"/>
  <c r="G39" i="53"/>
  <c r="W7" i="53"/>
  <c r="C39" i="53"/>
  <c r="W4" i="53"/>
  <c r="C48" i="53"/>
  <c r="O9" i="53"/>
  <c r="W8" i="53"/>
  <c r="A31" i="63"/>
  <c r="B32" i="53"/>
  <c r="B34" i="53"/>
  <c r="D46" i="53"/>
  <c r="C46" i="53"/>
  <c r="E46" i="53"/>
  <c r="F46" i="53"/>
  <c r="G45" i="53"/>
  <c r="A12" i="55"/>
  <c r="D11" i="55"/>
  <c r="E11" i="55"/>
  <c r="E10" i="55"/>
  <c r="F45" i="53"/>
  <c r="C45" i="53"/>
  <c r="D45" i="53"/>
  <c r="E45" i="53"/>
  <c r="C50" i="59" a="1"/>
  <c r="D50" i="59" a="1"/>
  <c r="C52" i="59" a="1"/>
  <c r="D174" i="69" a="1"/>
  <c r="D155" i="69" a="1"/>
  <c r="D155" i="54" a="1"/>
  <c r="C155" i="69" a="1"/>
  <c r="D174" i="54" a="1"/>
  <c r="D155" i="68" a="1"/>
  <c r="D174" i="68" a="1"/>
  <c r="C155" i="68" a="1"/>
  <c r="C155" i="54" a="1"/>
  <c r="C52" i="59" l="1"/>
  <c r="D50" i="59"/>
  <c r="C50" i="59"/>
  <c r="B224" i="74"/>
  <c r="B224" i="75"/>
  <c r="I127" i="74"/>
  <c r="D174" i="69"/>
  <c r="E174" i="69" s="1"/>
  <c r="D174" i="68"/>
  <c r="D174" i="54"/>
  <c r="B125" i="75"/>
  <c r="D125" i="75" s="1"/>
  <c r="E125" i="75" s="1"/>
  <c r="F116" i="75"/>
  <c r="B122" i="75" s="1"/>
  <c r="D122" i="75" s="1"/>
  <c r="E122" i="75" s="1"/>
  <c r="F127" i="75"/>
  <c r="E127" i="75"/>
  <c r="C155" i="54"/>
  <c r="C155" i="68"/>
  <c r="E155" i="68" s="1"/>
  <c r="C155" i="69"/>
  <c r="F116" i="74"/>
  <c r="B122" i="74" s="1"/>
  <c r="B125" i="74"/>
  <c r="D155" i="68"/>
  <c r="D155" i="69"/>
  <c r="E155" i="69" s="1"/>
  <c r="D155" i="54"/>
  <c r="B116" i="52"/>
  <c r="H11" i="53"/>
  <c r="D90" i="52"/>
  <c r="B224" i="52"/>
  <c r="E224" i="52" s="1"/>
  <c r="C9" i="52" s="1"/>
  <c r="O10" i="53"/>
  <c r="W9" i="53"/>
  <c r="A17" i="62"/>
  <c r="G41" i="53"/>
  <c r="E41" i="53"/>
  <c r="G46" i="53"/>
  <c r="C41" i="53"/>
  <c r="F41" i="53"/>
  <c r="D41" i="53"/>
  <c r="A13" i="55"/>
  <c r="D12" i="55"/>
  <c r="E12" i="55" s="1"/>
  <c r="D52" i="59" a="1"/>
  <c r="D172" i="68" a="1"/>
  <c r="C172" i="68" a="1"/>
  <c r="C172" i="54" a="1"/>
  <c r="C169" i="68" a="1"/>
  <c r="C169" i="69" a="1"/>
  <c r="C172" i="69" a="1"/>
  <c r="C169" i="54" a="1"/>
  <c r="D169" i="54" a="1"/>
  <c r="D169" i="69" a="1"/>
  <c r="D172" i="69" a="1"/>
  <c r="D169" i="68" a="1"/>
  <c r="D172" i="54" a="1"/>
  <c r="F125" i="75" l="1"/>
  <c r="G128" i="75"/>
  <c r="D52" i="59"/>
  <c r="I127" i="75"/>
  <c r="H128" i="75"/>
  <c r="F122" i="75"/>
  <c r="B231" i="75"/>
  <c r="B231" i="74"/>
  <c r="D128" i="75"/>
  <c r="B128" i="75"/>
  <c r="C128" i="75"/>
  <c r="C172" i="54"/>
  <c r="C172" i="69"/>
  <c r="C172" i="68"/>
  <c r="E172" i="68" s="1"/>
  <c r="C169" i="69"/>
  <c r="C169" i="68"/>
  <c r="E169" i="68" s="1"/>
  <c r="C169" i="54"/>
  <c r="D125" i="74"/>
  <c r="E125" i="74" s="1"/>
  <c r="D122" i="74"/>
  <c r="E122" i="74" s="1"/>
  <c r="D169" i="68"/>
  <c r="D169" i="69"/>
  <c r="E169" i="69" s="1"/>
  <c r="D169" i="54"/>
  <c r="D172" i="69"/>
  <c r="E172" i="69" s="1"/>
  <c r="D172" i="68"/>
  <c r="D172" i="54"/>
  <c r="B55" i="59"/>
  <c r="B61" i="59" s="1"/>
  <c r="B163" i="69"/>
  <c r="B163" i="68"/>
  <c r="B163" i="54"/>
  <c r="E163" i="54" s="1"/>
  <c r="B231" i="52"/>
  <c r="E231" i="52" s="1"/>
  <c r="X28" i="53"/>
  <c r="N4" i="53"/>
  <c r="O11" i="53"/>
  <c r="W10" i="53"/>
  <c r="X23" i="53"/>
  <c r="X18" i="53"/>
  <c r="X9" i="53"/>
  <c r="A14" i="55"/>
  <c r="D13" i="55"/>
  <c r="F122" i="74" l="1"/>
  <c r="H128" i="74"/>
  <c r="G128" i="74"/>
  <c r="F125" i="74"/>
  <c r="E128" i="75"/>
  <c r="F128" i="75" s="1"/>
  <c r="B128" i="74"/>
  <c r="C128" i="74"/>
  <c r="D128" i="74"/>
  <c r="C62" i="52"/>
  <c r="AN3" i="52" s="1"/>
  <c r="AN4" i="52" s="1"/>
  <c r="B58" i="59" s="1"/>
  <c r="B22" i="59" s="1"/>
  <c r="O12" i="53"/>
  <c r="W11" i="53"/>
  <c r="X8" i="53"/>
  <c r="X5" i="53"/>
  <c r="X6" i="53"/>
  <c r="X7" i="53"/>
  <c r="X4" i="53"/>
  <c r="E13" i="55"/>
  <c r="A15" i="55"/>
  <c r="D14" i="55"/>
  <c r="C49" i="53"/>
  <c r="J47" i="53"/>
  <c r="AG24" i="53" s="1"/>
  <c r="D53" i="59" a="1"/>
  <c r="C175" i="54" a="1"/>
  <c r="C175" i="68" a="1"/>
  <c r="D175" i="68" a="1"/>
  <c r="C175" i="69" a="1"/>
  <c r="D175" i="54" a="1"/>
  <c r="D175" i="69" a="1"/>
  <c r="D53" i="59" l="1"/>
  <c r="I128" i="75"/>
  <c r="E128" i="74"/>
  <c r="F128" i="74" s="1"/>
  <c r="C175" i="54"/>
  <c r="C175" i="69"/>
  <c r="C175" i="68"/>
  <c r="E175" i="68" s="1"/>
  <c r="D175" i="68"/>
  <c r="D175" i="69"/>
  <c r="E175" i="69" s="1"/>
  <c r="D175" i="54"/>
  <c r="O13" i="53"/>
  <c r="W12" i="53"/>
  <c r="A16" i="55"/>
  <c r="D15" i="55"/>
  <c r="E15" i="55" s="1"/>
  <c r="E14" i="55"/>
  <c r="AH24" i="53"/>
  <c r="AI24" i="53"/>
  <c r="G51" i="53"/>
  <c r="G53" i="53" s="1"/>
  <c r="G55" i="53" s="1"/>
  <c r="C51" i="53"/>
  <c r="C53" i="53" s="1"/>
  <c r="C55" i="53" s="1"/>
  <c r="F51" i="53"/>
  <c r="F53" i="53" s="1"/>
  <c r="F55" i="53" s="1"/>
  <c r="G50" i="53"/>
  <c r="G52" i="53" s="1"/>
  <c r="G54" i="53" s="1"/>
  <c r="F50" i="53"/>
  <c r="F52" i="53" s="1"/>
  <c r="F54" i="53" s="1"/>
  <c r="D51" i="53"/>
  <c r="D53" i="53" s="1"/>
  <c r="D55" i="53" s="1"/>
  <c r="E50" i="53"/>
  <c r="E52" i="53" s="1"/>
  <c r="E54" i="53" s="1"/>
  <c r="D50" i="53"/>
  <c r="D52" i="53" s="1"/>
  <c r="D54" i="53" s="1"/>
  <c r="E51" i="53"/>
  <c r="E53" i="53" s="1"/>
  <c r="E55" i="53" s="1"/>
  <c r="C50" i="53"/>
  <c r="C52" i="53" s="1"/>
  <c r="C54" i="53" s="1"/>
  <c r="C53" i="59" a="1"/>
  <c r="C53" i="59" l="1"/>
  <c r="I128" i="74"/>
  <c r="E56" i="53"/>
  <c r="E80" i="53" s="1"/>
  <c r="G56" i="53"/>
  <c r="G80" i="53" s="1"/>
  <c r="D56" i="53"/>
  <c r="D80" i="53" s="1"/>
  <c r="F56" i="53"/>
  <c r="F80" i="53" s="1"/>
  <c r="C56" i="53"/>
  <c r="C80" i="53" s="1"/>
  <c r="O14" i="53"/>
  <c r="W13" i="53"/>
  <c r="A17" i="55"/>
  <c r="D16" i="55"/>
  <c r="O15" i="53" l="1"/>
  <c r="W14" i="53"/>
  <c r="E16" i="55"/>
  <c r="D17" i="55"/>
  <c r="A18" i="55"/>
  <c r="O16" i="53" l="1"/>
  <c r="W15" i="53"/>
  <c r="A19" i="55"/>
  <c r="D18" i="55"/>
  <c r="E17" i="55"/>
  <c r="O17" i="53" l="1"/>
  <c r="W16" i="53"/>
  <c r="E18" i="55"/>
  <c r="A20" i="55"/>
  <c r="D19" i="55"/>
  <c r="O18" i="53" l="1"/>
  <c r="W17" i="53"/>
  <c r="E19" i="55"/>
  <c r="A21" i="55"/>
  <c r="D20" i="55"/>
  <c r="O19" i="53" l="1"/>
  <c r="W18" i="53"/>
  <c r="X10" i="53"/>
  <c r="X11" i="53"/>
  <c r="X15" i="53"/>
  <c r="X13" i="53"/>
  <c r="X12" i="53"/>
  <c r="X17" i="53"/>
  <c r="X16" i="53"/>
  <c r="X14" i="53"/>
  <c r="E20" i="55"/>
  <c r="A22" i="55"/>
  <c r="D21" i="55"/>
  <c r="O20" i="53" l="1"/>
  <c r="W19" i="53"/>
  <c r="E21" i="55"/>
  <c r="A23" i="55"/>
  <c r="D22" i="55"/>
  <c r="O21" i="53" l="1"/>
  <c r="W20" i="53"/>
  <c r="E22" i="55"/>
  <c r="A24" i="55"/>
  <c r="D23" i="55"/>
  <c r="O22" i="53" l="1"/>
  <c r="W21" i="53"/>
  <c r="E23" i="55"/>
  <c r="D24" i="55"/>
  <c r="A25" i="55"/>
  <c r="B61" i="54"/>
  <c r="B77" i="54"/>
  <c r="B79" i="54" s="1"/>
  <c r="O23" i="53" l="1"/>
  <c r="W22" i="53"/>
  <c r="A26" i="55"/>
  <c r="D25" i="55"/>
  <c r="E24" i="55"/>
  <c r="B53" i="54"/>
  <c r="B81" i="54"/>
  <c r="B83" i="54" s="1"/>
  <c r="B85" i="54" s="1"/>
  <c r="H12" i="53"/>
  <c r="U1" i="53" s="1"/>
  <c r="U32" i="53" s="1"/>
  <c r="V32" i="53" s="1"/>
  <c r="B20" i="54"/>
  <c r="B22" i="54" l="1"/>
  <c r="O24" i="53"/>
  <c r="W23" i="53"/>
  <c r="X19" i="53"/>
  <c r="X22" i="53"/>
  <c r="X20" i="53"/>
  <c r="X21" i="53"/>
  <c r="A27" i="55"/>
  <c r="D26" i="55"/>
  <c r="E25" i="55"/>
  <c r="B63" i="54"/>
  <c r="B65" i="54" s="1"/>
  <c r="U6" i="53"/>
  <c r="U4" i="53"/>
  <c r="U16" i="53"/>
  <c r="U44" i="53"/>
  <c r="V44" i="53" s="1"/>
  <c r="U48" i="53"/>
  <c r="V48" i="53" s="1"/>
  <c r="U14" i="53"/>
  <c r="U20" i="53"/>
  <c r="U38" i="53"/>
  <c r="V38" i="53" s="1"/>
  <c r="U18" i="53"/>
  <c r="U43" i="53"/>
  <c r="V43" i="53" s="1"/>
  <c r="U15" i="53"/>
  <c r="U51" i="53"/>
  <c r="V51" i="53" s="1"/>
  <c r="U42" i="53"/>
  <c r="V42" i="53" s="1"/>
  <c r="U40" i="53"/>
  <c r="V40" i="53" s="1"/>
  <c r="U12" i="53"/>
  <c r="U49" i="53"/>
  <c r="V49" i="53" s="1"/>
  <c r="U11" i="53"/>
  <c r="U23" i="53"/>
  <c r="U24" i="53"/>
  <c r="U46" i="53"/>
  <c r="V46" i="53" s="1"/>
  <c r="U30" i="53"/>
  <c r="U10" i="53"/>
  <c r="U33" i="53"/>
  <c r="V33" i="53" s="1"/>
  <c r="U7" i="53"/>
  <c r="U27" i="53"/>
  <c r="U35" i="53"/>
  <c r="V35" i="53" s="1"/>
  <c r="U29" i="53"/>
  <c r="U50" i="53"/>
  <c r="V50" i="53" s="1"/>
  <c r="U22" i="53"/>
  <c r="U36" i="53"/>
  <c r="V36" i="53" s="1"/>
  <c r="U8" i="53"/>
  <c r="U47" i="53"/>
  <c r="V47" i="53" s="1"/>
  <c r="U41" i="53"/>
  <c r="V41" i="53" s="1"/>
  <c r="U5" i="53"/>
  <c r="U37" i="53"/>
  <c r="V37" i="53" s="1"/>
  <c r="U25" i="53"/>
  <c r="U28" i="53"/>
  <c r="U34" i="53"/>
  <c r="V34" i="53" s="1"/>
  <c r="U13" i="53"/>
  <c r="U21" i="53"/>
  <c r="U17" i="53"/>
  <c r="U31" i="53"/>
  <c r="U26" i="53"/>
  <c r="U39" i="53"/>
  <c r="V39" i="53" s="1"/>
  <c r="U9" i="53"/>
  <c r="U19" i="53"/>
  <c r="U45" i="53"/>
  <c r="V45" i="53" s="1"/>
  <c r="B23" i="54" l="1"/>
  <c r="O25" i="53"/>
  <c r="W24" i="53"/>
  <c r="E26" i="55"/>
  <c r="A28" i="55"/>
  <c r="D27" i="55"/>
  <c r="B34" i="54" l="1"/>
  <c r="B25" i="54"/>
  <c r="O26" i="53"/>
  <c r="W25" i="53"/>
  <c r="E27" i="55"/>
  <c r="A29" i="55"/>
  <c r="D28" i="55"/>
  <c r="B215" i="75" l="1"/>
  <c r="B215" i="74"/>
  <c r="B215" i="52"/>
  <c r="E215" i="52" s="1"/>
  <c r="D116" i="52" s="1"/>
  <c r="C122" i="52" s="1"/>
  <c r="B32" i="54"/>
  <c r="O27" i="53"/>
  <c r="W26" i="53"/>
  <c r="E28" i="55"/>
  <c r="A30" i="55"/>
  <c r="D29" i="55"/>
  <c r="B214" i="75" l="1"/>
  <c r="B214" i="74"/>
  <c r="B214" i="52"/>
  <c r="E214" i="52" s="1"/>
  <c r="B38" i="54"/>
  <c r="E218" i="52" s="1"/>
  <c r="O28" i="53"/>
  <c r="W27" i="53"/>
  <c r="E29" i="55"/>
  <c r="A31" i="55"/>
  <c r="D30" i="55"/>
  <c r="O29" i="53" l="1"/>
  <c r="X29" i="53" s="1"/>
  <c r="W28" i="53"/>
  <c r="X25" i="53"/>
  <c r="X26" i="53"/>
  <c r="X27" i="53"/>
  <c r="X24" i="53"/>
  <c r="A32" i="55"/>
  <c r="D31" i="55"/>
  <c r="E30" i="55"/>
  <c r="O30" i="53" l="1"/>
  <c r="W29" i="53"/>
  <c r="E31" i="55"/>
  <c r="F31" i="55" s="1"/>
  <c r="P31" i="53" s="1"/>
  <c r="D32" i="55"/>
  <c r="A33" i="55"/>
  <c r="A34" i="55" s="1"/>
  <c r="A35" i="55" s="1"/>
  <c r="A36" i="55" s="1"/>
  <c r="A37" i="55" s="1"/>
  <c r="A38" i="55" s="1"/>
  <c r="A39" i="55" s="1"/>
  <c r="A40" i="55" s="1"/>
  <c r="A41" i="55" s="1"/>
  <c r="A42" i="55" s="1"/>
  <c r="A43" i="55" s="1"/>
  <c r="A44" i="55" s="1"/>
  <c r="A45" i="55" s="1"/>
  <c r="A46" i="55" s="1"/>
  <c r="A47" i="55" s="1"/>
  <c r="A48" i="55" s="1"/>
  <c r="A49" i="55" s="1"/>
  <c r="A50" i="55" s="1"/>
  <c r="A51" i="55" s="1"/>
  <c r="O31" i="53" l="1"/>
  <c r="W30" i="53"/>
  <c r="X30" i="53"/>
  <c r="G7" i="53"/>
  <c r="F4" i="55"/>
  <c r="P4" i="53" s="1"/>
  <c r="F6" i="55"/>
  <c r="P6" i="53" s="1"/>
  <c r="F5" i="55"/>
  <c r="P5" i="53" s="1"/>
  <c r="F7" i="55"/>
  <c r="P7" i="53" s="1"/>
  <c r="F8" i="55"/>
  <c r="P8" i="53" s="1"/>
  <c r="C7" i="53"/>
  <c r="C8" i="53" s="1"/>
  <c r="F9" i="55"/>
  <c r="P9" i="53" s="1"/>
  <c r="F10" i="55"/>
  <c r="P10" i="53" s="1"/>
  <c r="F11" i="55"/>
  <c r="P11" i="53" s="1"/>
  <c r="F12" i="55"/>
  <c r="P12" i="53" s="1"/>
  <c r="F13" i="55"/>
  <c r="P13" i="53" s="1"/>
  <c r="F14" i="55"/>
  <c r="P14" i="53" s="1"/>
  <c r="F15" i="55"/>
  <c r="P15" i="53" s="1"/>
  <c r="D7" i="53"/>
  <c r="F16" i="55"/>
  <c r="P16" i="53" s="1"/>
  <c r="F17" i="55"/>
  <c r="P17" i="53" s="1"/>
  <c r="F18" i="55"/>
  <c r="P18" i="53" s="1"/>
  <c r="F19" i="55"/>
  <c r="P19" i="53" s="1"/>
  <c r="F20" i="55"/>
  <c r="P20" i="53" s="1"/>
  <c r="E7" i="53"/>
  <c r="F21" i="55"/>
  <c r="P21" i="53" s="1"/>
  <c r="F22" i="55"/>
  <c r="P22" i="53" s="1"/>
  <c r="F23" i="55"/>
  <c r="P23" i="53" s="1"/>
  <c r="F24" i="55"/>
  <c r="P24" i="53" s="1"/>
  <c r="F25" i="55"/>
  <c r="P25" i="53" s="1"/>
  <c r="F7" i="53"/>
  <c r="F26" i="55"/>
  <c r="P26" i="53" s="1"/>
  <c r="F27" i="55"/>
  <c r="P27" i="53" s="1"/>
  <c r="F28" i="55"/>
  <c r="P28" i="53" s="1"/>
  <c r="F29" i="55"/>
  <c r="P29" i="53" s="1"/>
  <c r="F30" i="55"/>
  <c r="P30" i="53" s="1"/>
  <c r="E8" i="53" l="1"/>
  <c r="E60" i="53" s="1"/>
  <c r="G8" i="53"/>
  <c r="G60" i="53" s="1"/>
  <c r="F8" i="53"/>
  <c r="F60" i="53" s="1"/>
  <c r="D8" i="53"/>
  <c r="D60" i="53" s="1"/>
  <c r="O32" i="53"/>
  <c r="O33" i="53" s="1"/>
  <c r="O34" i="53" s="1"/>
  <c r="O35" i="53" s="1"/>
  <c r="O36" i="53" s="1"/>
  <c r="O37" i="53" s="1"/>
  <c r="O38" i="53" s="1"/>
  <c r="O39" i="53" s="1"/>
  <c r="O40" i="53" s="1"/>
  <c r="O41" i="53" s="1"/>
  <c r="O42" i="53" s="1"/>
  <c r="O43" i="53" s="1"/>
  <c r="O44" i="53" s="1"/>
  <c r="O45" i="53" s="1"/>
  <c r="O46" i="53" s="1"/>
  <c r="O47" i="53" s="1"/>
  <c r="O48" i="53" s="1"/>
  <c r="O49" i="53" s="1"/>
  <c r="O50" i="53" s="1"/>
  <c r="O51" i="53" s="1"/>
  <c r="W31" i="53"/>
  <c r="X31" i="53"/>
  <c r="H7" i="53"/>
  <c r="C60" i="53" l="1"/>
  <c r="H8" i="53"/>
  <c r="AA1" i="53" l="1"/>
  <c r="T1" i="53"/>
  <c r="H60" i="53"/>
  <c r="B199" i="74" l="1"/>
  <c r="B199" i="75"/>
  <c r="B199" i="52"/>
  <c r="E199" i="52" s="1"/>
  <c r="C124" i="52" s="1"/>
  <c r="T11" i="53"/>
  <c r="T21" i="53"/>
  <c r="T8" i="53"/>
  <c r="T14" i="53"/>
  <c r="T13" i="53"/>
  <c r="T16" i="53"/>
  <c r="T18" i="53"/>
  <c r="T4" i="53"/>
  <c r="T23" i="53"/>
  <c r="T24" i="53"/>
  <c r="T15" i="53"/>
  <c r="T9" i="53"/>
  <c r="T5" i="53"/>
  <c r="T22" i="53"/>
  <c r="T25" i="53"/>
  <c r="T29" i="53"/>
  <c r="T7" i="53"/>
  <c r="T17" i="53"/>
  <c r="T28" i="53"/>
  <c r="T31" i="53"/>
  <c r="T20" i="53"/>
  <c r="T30" i="53"/>
  <c r="T12" i="53"/>
  <c r="T27" i="53"/>
  <c r="T6" i="53"/>
  <c r="T26" i="53"/>
  <c r="T19" i="53"/>
  <c r="T10" i="53"/>
  <c r="AA11" i="53"/>
  <c r="AA29" i="53"/>
  <c r="AA14" i="53"/>
  <c r="AA8" i="53"/>
  <c r="AA18" i="53"/>
  <c r="AA19" i="53"/>
  <c r="AA28" i="53"/>
  <c r="AA13" i="53"/>
  <c r="AA30" i="53"/>
  <c r="AA25" i="53"/>
  <c r="AA20" i="53"/>
  <c r="AA6" i="53"/>
  <c r="AA12" i="53"/>
  <c r="AA23" i="53"/>
  <c r="AA16" i="53"/>
  <c r="AA4" i="53"/>
  <c r="AA27" i="53"/>
  <c r="AA9" i="53"/>
  <c r="AA24" i="53"/>
  <c r="AA26" i="53"/>
  <c r="AA15" i="53"/>
  <c r="AA21" i="53"/>
  <c r="AA10" i="53"/>
  <c r="AA17" i="53"/>
  <c r="AA5" i="53"/>
  <c r="AA7" i="53"/>
  <c r="AA31" i="53"/>
  <c r="AA22" i="53"/>
  <c r="V10" i="53" l="1"/>
  <c r="Y10" i="53" s="1"/>
  <c r="Z10" i="53" s="1"/>
  <c r="AB10" i="53" s="1"/>
  <c r="AC10" i="53" s="1"/>
  <c r="V27" i="53"/>
  <c r="Y27" i="53" s="1"/>
  <c r="Z27" i="53" s="1"/>
  <c r="AB27" i="53" s="1"/>
  <c r="AC27" i="53" s="1"/>
  <c r="V31" i="53"/>
  <c r="Y31" i="53" s="1"/>
  <c r="Z31" i="53" s="1"/>
  <c r="AB31" i="53" s="1"/>
  <c r="AC31" i="53" s="1"/>
  <c r="V29" i="53"/>
  <c r="Y29" i="53" s="1"/>
  <c r="Z29" i="53" s="1"/>
  <c r="AB29" i="53" s="1"/>
  <c r="AC29" i="53" s="1"/>
  <c r="V9" i="53"/>
  <c r="Y9" i="53" s="1"/>
  <c r="Z9" i="53" s="1"/>
  <c r="AB9" i="53" s="1"/>
  <c r="AC9" i="53" s="1"/>
  <c r="V4" i="53"/>
  <c r="Y4" i="53" s="1"/>
  <c r="Z4" i="53" s="1"/>
  <c r="AB4" i="53" s="1"/>
  <c r="AC4" i="53" s="1"/>
  <c r="V14" i="53"/>
  <c r="Y14" i="53" s="1"/>
  <c r="Z14" i="53" s="1"/>
  <c r="AB14" i="53" s="1"/>
  <c r="AC14" i="53" s="1"/>
  <c r="V19" i="53"/>
  <c r="Y19" i="53" s="1"/>
  <c r="Z19" i="53" s="1"/>
  <c r="AB19" i="53" s="1"/>
  <c r="AC19" i="53" s="1"/>
  <c r="V12" i="53"/>
  <c r="Y12" i="53" s="1"/>
  <c r="Z12" i="53" s="1"/>
  <c r="AB12" i="53" s="1"/>
  <c r="AC12" i="53" s="1"/>
  <c r="V28" i="53"/>
  <c r="Y28" i="53" s="1"/>
  <c r="Z28" i="53" s="1"/>
  <c r="AB28" i="53" s="1"/>
  <c r="AC28" i="53" s="1"/>
  <c r="V25" i="53"/>
  <c r="Y25" i="53" s="1"/>
  <c r="Z25" i="53" s="1"/>
  <c r="AB25" i="53" s="1"/>
  <c r="AC25" i="53" s="1"/>
  <c r="V15" i="53"/>
  <c r="Y15" i="53" s="1"/>
  <c r="Z15" i="53" s="1"/>
  <c r="AB15" i="53" s="1"/>
  <c r="AC15" i="53" s="1"/>
  <c r="V18" i="53"/>
  <c r="Y18" i="53" s="1"/>
  <c r="Z18" i="53" s="1"/>
  <c r="AB18" i="53" s="1"/>
  <c r="AC18" i="53" s="1"/>
  <c r="V8" i="53"/>
  <c r="Y8" i="53" s="1"/>
  <c r="Z8" i="53" s="1"/>
  <c r="AB8" i="53" s="1"/>
  <c r="AC8" i="53" s="1"/>
  <c r="V26" i="53"/>
  <c r="Y26" i="53" s="1"/>
  <c r="Z26" i="53" s="1"/>
  <c r="AB26" i="53" s="1"/>
  <c r="AC26" i="53" s="1"/>
  <c r="V30" i="53"/>
  <c r="Y30" i="53" s="1"/>
  <c r="Z30" i="53" s="1"/>
  <c r="AB30" i="53" s="1"/>
  <c r="AC30" i="53" s="1"/>
  <c r="V17" i="53"/>
  <c r="Y17" i="53" s="1"/>
  <c r="Z17" i="53" s="1"/>
  <c r="AB17" i="53" s="1"/>
  <c r="AC17" i="53" s="1"/>
  <c r="V22" i="53"/>
  <c r="Y22" i="53" s="1"/>
  <c r="Z22" i="53" s="1"/>
  <c r="AB22" i="53" s="1"/>
  <c r="AC22" i="53" s="1"/>
  <c r="V24" i="53"/>
  <c r="Y24" i="53" s="1"/>
  <c r="Z24" i="53" s="1"/>
  <c r="AB24" i="53" s="1"/>
  <c r="AC24" i="53" s="1"/>
  <c r="V16" i="53"/>
  <c r="Y16" i="53" s="1"/>
  <c r="Z16" i="53" s="1"/>
  <c r="AB16" i="53" s="1"/>
  <c r="AC16" i="53" s="1"/>
  <c r="V21" i="53"/>
  <c r="Y21" i="53" s="1"/>
  <c r="Z21" i="53" s="1"/>
  <c r="AB21" i="53" s="1"/>
  <c r="AC21" i="53" s="1"/>
  <c r="V6" i="53"/>
  <c r="Y6" i="53" s="1"/>
  <c r="Z6" i="53" s="1"/>
  <c r="AB6" i="53" s="1"/>
  <c r="AC6" i="53" s="1"/>
  <c r="V20" i="53"/>
  <c r="Y20" i="53" s="1"/>
  <c r="Z20" i="53" s="1"/>
  <c r="AB20" i="53" s="1"/>
  <c r="AC20" i="53" s="1"/>
  <c r="V7" i="53"/>
  <c r="Y7" i="53" s="1"/>
  <c r="Z7" i="53" s="1"/>
  <c r="AB7" i="53" s="1"/>
  <c r="AC7" i="53" s="1"/>
  <c r="V5" i="53"/>
  <c r="Y5" i="53" s="1"/>
  <c r="Z5" i="53" s="1"/>
  <c r="AB5" i="53" s="1"/>
  <c r="AC5" i="53" s="1"/>
  <c r="V23" i="53"/>
  <c r="Y23" i="53" s="1"/>
  <c r="Z23" i="53" s="1"/>
  <c r="AB23" i="53" s="1"/>
  <c r="AC23" i="53" s="1"/>
  <c r="V13" i="53"/>
  <c r="Y13" i="53" s="1"/>
  <c r="Z13" i="53" s="1"/>
  <c r="AB13" i="53" s="1"/>
  <c r="AC13" i="53" s="1"/>
  <c r="V11" i="53"/>
  <c r="Y11" i="53" s="1"/>
  <c r="Z11" i="53" s="1"/>
  <c r="AB11" i="53" s="1"/>
  <c r="AC11" i="53" s="1"/>
  <c r="F61" i="53" l="1"/>
  <c r="C61" i="53"/>
  <c r="G61" i="53"/>
  <c r="E61" i="53"/>
  <c r="D61" i="53"/>
  <c r="E67" i="53" l="1"/>
  <c r="E79" i="53" s="1"/>
  <c r="E82" i="53" s="1"/>
  <c r="F67" i="53"/>
  <c r="F79" i="53" s="1"/>
  <c r="F82" i="53" s="1"/>
  <c r="C75" i="53"/>
  <c r="H61" i="53"/>
  <c r="C67" i="53"/>
  <c r="C79" i="53" s="1"/>
  <c r="C82" i="53" s="1"/>
  <c r="F75" i="53"/>
  <c r="G67" i="53"/>
  <c r="G79" i="53" s="1"/>
  <c r="G82" i="53" s="1"/>
  <c r="G75" i="53"/>
  <c r="E75" i="53"/>
  <c r="D75" i="53"/>
  <c r="D67" i="53"/>
  <c r="D79" i="53" s="1"/>
  <c r="D82" i="53" s="1"/>
  <c r="H82" i="53" l="1"/>
  <c r="H75" i="53"/>
  <c r="H67" i="53"/>
  <c r="B203" i="74" l="1"/>
  <c r="B203" i="75"/>
  <c r="B206" i="74"/>
  <c r="B206" i="75"/>
  <c r="B203" i="52"/>
  <c r="E203" i="52" s="1"/>
  <c r="D115" i="52" s="1"/>
  <c r="C121" i="52" s="1"/>
  <c r="B206" i="52"/>
  <c r="E206" i="52" s="1"/>
  <c r="H79" i="53"/>
  <c r="H77" i="53"/>
  <c r="B205" i="74" l="1"/>
  <c r="B205" i="75"/>
  <c r="B204" i="74"/>
  <c r="B204" i="75"/>
  <c r="B204" i="52"/>
  <c r="E204" i="52" s="1"/>
  <c r="F115" i="52" s="1"/>
  <c r="B205" i="52"/>
  <c r="E205" i="52" s="1"/>
  <c r="B115" i="52"/>
  <c r="H85" i="53"/>
  <c r="C31" i="59"/>
  <c r="B207" i="74" l="1"/>
  <c r="B207" i="75"/>
  <c r="B54" i="59"/>
  <c r="B60" i="59" s="1"/>
  <c r="B31" i="59" s="1"/>
  <c r="B162" i="68"/>
  <c r="B162" i="69"/>
  <c r="B207" i="52"/>
  <c r="E207" i="52" s="1"/>
  <c r="B111" i="52" s="1"/>
  <c r="B162" i="54"/>
  <c r="E162" i="54" s="1"/>
  <c r="B34" i="52"/>
  <c r="B76" i="52"/>
  <c r="B158" i="68" l="1"/>
  <c r="B158" i="69"/>
  <c r="B130" i="68"/>
  <c r="B130" i="69"/>
  <c r="B116" i="53"/>
  <c r="B116" i="66"/>
  <c r="B116" i="68"/>
  <c r="B116" i="67"/>
  <c r="B116" i="69"/>
  <c r="B158" i="54"/>
  <c r="E158" i="54" s="1"/>
  <c r="B78" i="52"/>
  <c r="B130" i="54"/>
  <c r="E130" i="54" s="1"/>
  <c r="B36" i="52"/>
  <c r="B116" i="54"/>
  <c r="E116" i="54" s="1"/>
  <c r="E116" i="53"/>
  <c r="B132" i="68" l="1"/>
  <c r="B132" i="69"/>
  <c r="B118" i="66"/>
  <c r="B118" i="68"/>
  <c r="B118" i="69"/>
  <c r="B118" i="67"/>
  <c r="B132" i="54"/>
  <c r="E132" i="54" s="1"/>
  <c r="B54" i="54" s="1"/>
  <c r="B55" i="54" s="1"/>
  <c r="B57" i="54" s="1"/>
  <c r="B118" i="54"/>
  <c r="E118" i="54" s="1"/>
  <c r="B118" i="53"/>
  <c r="E118" i="53"/>
  <c r="C62" i="53" s="1"/>
  <c r="C69" i="53" s="1"/>
  <c r="B217" i="75" l="1"/>
  <c r="B217" i="74"/>
  <c r="B217" i="52"/>
  <c r="E217" i="52" s="1"/>
  <c r="B27" i="54"/>
  <c r="B26" i="54"/>
  <c r="B59" i="54"/>
  <c r="E62" i="53"/>
  <c r="E69" i="53" s="1"/>
  <c r="F62" i="53"/>
  <c r="F69" i="53" s="1"/>
  <c r="G62" i="53"/>
  <c r="G69" i="53" s="1"/>
  <c r="H62" i="53"/>
  <c r="D62" i="53"/>
  <c r="D69" i="53" s="1"/>
  <c r="B28" i="54" l="1"/>
  <c r="H69" i="53"/>
  <c r="B121" i="52"/>
  <c r="B212" i="75" l="1"/>
  <c r="B212" i="74"/>
  <c r="B200" i="74"/>
  <c r="B200" i="75"/>
  <c r="B168" i="68"/>
  <c r="B168" i="69"/>
  <c r="B212" i="52"/>
  <c r="E212" i="52" s="1"/>
  <c r="B30" i="54"/>
  <c r="B200" i="52"/>
  <c r="E200" i="52" s="1"/>
  <c r="H71" i="53"/>
  <c r="D121" i="52"/>
  <c r="E121" i="52" s="1"/>
  <c r="B168" i="54"/>
  <c r="E168" i="54" s="1"/>
  <c r="B213" i="74" l="1"/>
  <c r="B213" i="75"/>
  <c r="B201" i="74"/>
  <c r="B201" i="75"/>
  <c r="B213" i="52"/>
  <c r="E213" i="52" s="1"/>
  <c r="B108" i="52" s="1"/>
  <c r="B50" i="59" s="1"/>
  <c r="B25" i="59" s="1"/>
  <c r="H127" i="52"/>
  <c r="B201" i="52"/>
  <c r="E201" i="52" s="1"/>
  <c r="B106" i="52" s="1"/>
  <c r="H73" i="53"/>
  <c r="C127" i="52"/>
  <c r="F121" i="52"/>
  <c r="B202" i="74" l="1"/>
  <c r="B202" i="75"/>
  <c r="F116" i="52"/>
  <c r="B122" i="52" s="1"/>
  <c r="B169" i="69" s="1"/>
  <c r="B125" i="52"/>
  <c r="B172" i="68" s="1"/>
  <c r="B48" i="59"/>
  <c r="B23" i="59" s="1"/>
  <c r="B153" i="69"/>
  <c r="B153" i="68"/>
  <c r="B155" i="54"/>
  <c r="E155" i="54" s="1"/>
  <c r="B155" i="69"/>
  <c r="B155" i="68"/>
  <c r="B202" i="52"/>
  <c r="E202" i="52" s="1"/>
  <c r="B153" i="54"/>
  <c r="E153" i="54" s="1"/>
  <c r="B124" i="52"/>
  <c r="D125" i="52" l="1"/>
  <c r="E125" i="52" s="1"/>
  <c r="D128" i="52" s="1"/>
  <c r="B169" i="54"/>
  <c r="E169" i="54" s="1"/>
  <c r="D122" i="52"/>
  <c r="E122" i="52" s="1"/>
  <c r="H128" i="52" s="1"/>
  <c r="B169" i="68"/>
  <c r="B172" i="54"/>
  <c r="E172" i="54" s="1"/>
  <c r="B172" i="69"/>
  <c r="B171" i="69"/>
  <c r="B171" i="68"/>
  <c r="F125" i="52"/>
  <c r="G128" i="52"/>
  <c r="B171" i="54"/>
  <c r="E171" i="54" s="1"/>
  <c r="D124" i="52"/>
  <c r="E124" i="52" s="1"/>
  <c r="B127" i="52" s="1"/>
  <c r="F122" i="52" l="1"/>
  <c r="B128" i="52"/>
  <c r="B175" i="68" s="1"/>
  <c r="C128" i="52"/>
  <c r="B174" i="68"/>
  <c r="B174" i="69"/>
  <c r="F124" i="52"/>
  <c r="G127" i="52"/>
  <c r="B175" i="69" l="1"/>
  <c r="B175" i="54"/>
  <c r="E175" i="54" s="1"/>
  <c r="E128" i="52"/>
  <c r="F128" i="52" s="1"/>
  <c r="B53" i="59" s="1"/>
  <c r="E127" i="52"/>
  <c r="B174" i="54"/>
  <c r="E174" i="54" s="1"/>
  <c r="F127" i="52" l="1"/>
  <c r="B52" i="59" s="1"/>
  <c r="B36" i="59" s="1"/>
  <c r="I128" i="52"/>
  <c r="C22" i="59" l="1"/>
  <c r="I39" i="59"/>
  <c r="I38" i="59"/>
  <c r="I127" i="52"/>
  <c r="B39"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D1" authorId="0" shapeId="0" xr:uid="{869A3B58-26DF-4C59-8308-D79A925941C7}">
      <text>
        <r>
          <rPr>
            <sz val="9"/>
            <color indexed="81"/>
            <rFont val="Tahoma"/>
            <family val="2"/>
          </rPr>
          <t xml:space="preserve">These need to be modified once DEAP4 is ready for this change to low, intermediate, medium, high (latest EN14825 nomenclature for temps has changed)
</t>
        </r>
      </text>
    </comment>
    <comment ref="N4" authorId="0" shapeId="0" xr:uid="{7726E453-6003-49CF-A6BA-62AA4C07506F}">
      <text>
        <r>
          <rPr>
            <b/>
            <sz val="9"/>
            <color indexed="81"/>
            <rFont val="Tahoma"/>
            <family val="2"/>
          </rPr>
          <t>I.S. EN 14511 removed for standalone tool.</t>
        </r>
      </text>
    </comment>
    <comment ref="N6" authorId="0" shapeId="0" xr:uid="{13AE2583-4071-4838-A546-BD89B505681F}">
      <text>
        <r>
          <rPr>
            <b/>
            <sz val="9"/>
            <color indexed="81"/>
            <rFont val="Tahoma"/>
            <family val="2"/>
          </rPr>
          <t>I.S. EN 255-3 removed from standalone tool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D1" authorId="0" shapeId="0" xr:uid="{6240F282-0D42-4DC9-8CC1-059E806A2B6F}">
      <text>
        <r>
          <rPr>
            <sz val="9"/>
            <color indexed="81"/>
            <rFont val="Tahoma"/>
            <family val="2"/>
          </rPr>
          <t xml:space="preserve">These need to be modified once DEAP4 is ready for this change to low, intermediate, medium, high (latest EN14825 nomenclature for temps has changed)
</t>
        </r>
      </text>
    </comment>
    <comment ref="N4" authorId="0" shapeId="0" xr:uid="{61F25DB5-EC6E-4B35-9B7E-D34849817325}">
      <text>
        <r>
          <rPr>
            <b/>
            <sz val="9"/>
            <color indexed="81"/>
            <rFont val="Tahoma"/>
            <family val="2"/>
          </rPr>
          <t>I.S. EN 14511 removed for standalone tool.</t>
        </r>
      </text>
    </comment>
    <comment ref="N6" authorId="0" shapeId="0" xr:uid="{6440EBBE-CA19-452A-BE37-64A1B32056DF}">
      <text>
        <r>
          <rPr>
            <b/>
            <sz val="9"/>
            <color indexed="81"/>
            <rFont val="Tahoma"/>
            <family val="2"/>
          </rPr>
          <t>I.S. EN 255-3 removed from standalone tool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D1" authorId="0" shapeId="0" xr:uid="{5C419F3D-87B1-493B-9F8D-11774DB30C1F}">
      <text>
        <r>
          <rPr>
            <sz val="9"/>
            <color indexed="81"/>
            <rFont val="Tahoma"/>
            <family val="2"/>
          </rPr>
          <t xml:space="preserve">These need to be modified once DEAP4 is ready for this change to low, intermediate, medium, high (latest EN14825 nomenclature for temps has changed)
</t>
        </r>
      </text>
    </comment>
    <comment ref="N4" authorId="0" shapeId="0" xr:uid="{BCAF9F2A-153D-4795-9749-365CA2A2EB5C}">
      <text>
        <r>
          <rPr>
            <b/>
            <sz val="9"/>
            <color indexed="81"/>
            <rFont val="Tahoma"/>
            <family val="2"/>
          </rPr>
          <t>I.S. EN 14511 removed for standalone tool.</t>
        </r>
      </text>
    </comment>
    <comment ref="N6" authorId="0" shapeId="0" xr:uid="{A9DD2842-51A8-4F01-BBFB-58052292ADA3}">
      <text>
        <r>
          <rPr>
            <b/>
            <sz val="9"/>
            <color indexed="81"/>
            <rFont val="Tahoma"/>
            <family val="2"/>
          </rPr>
          <t>I.S. EN 255-3 removed from standalone tool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31" authorId="0" shapeId="0" xr:uid="{E59E9257-D519-4ED8-BDB0-6D58AE5551C7}">
      <text>
        <r>
          <rPr>
            <sz val="9"/>
            <color indexed="81"/>
            <rFont val="Tahoma"/>
            <family val="2"/>
          </rPr>
          <t xml:space="preserve">
1 and only one means a valid heat pump is selected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31" authorId="0" shapeId="0" xr:uid="{BF97E226-A650-4C43-929B-188625A105B6}">
      <text>
        <r>
          <rPr>
            <sz val="9"/>
            <color indexed="81"/>
            <rFont val="Tahoma"/>
            <family val="2"/>
          </rPr>
          <t xml:space="preserve">
1 and only one means a valid heat pump is selected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31" authorId="0" shapeId="0" xr:uid="{A754D02C-969A-4367-B785-53AE26063DAE}">
      <text>
        <r>
          <rPr>
            <sz val="9"/>
            <color indexed="81"/>
            <rFont val="Tahoma"/>
            <family val="2"/>
          </rPr>
          <t xml:space="preserve">
1 and only one means a valid heat pump is selected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17" authorId="0" shapeId="0" xr:uid="{014867AE-8B50-46ED-A4FB-FD0C0BFAE57E}">
      <text>
        <r>
          <rPr>
            <sz val="9"/>
            <color indexed="81"/>
            <rFont val="Tahoma"/>
            <family val="2"/>
          </rPr>
          <t xml:space="preserve">
1 and only one (no more no less) means a valid heat pump is selected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17" authorId="0" shapeId="0" xr:uid="{2880F8D9-4180-40DC-ABE6-2C5BD58CFC59}">
      <text>
        <r>
          <rPr>
            <sz val="9"/>
            <color indexed="81"/>
            <rFont val="Tahoma"/>
            <family val="2"/>
          </rPr>
          <t xml:space="preserve">
1 and only one (no more no less) means a valid heat pump is selected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Shay Kavanagh</author>
  </authors>
  <commentList>
    <comment ref="A17" authorId="0" shapeId="0" xr:uid="{0F35E995-3FF5-4F53-98E0-BC2DAE4CBCD8}">
      <text>
        <r>
          <rPr>
            <sz val="9"/>
            <color indexed="81"/>
            <rFont val="Tahoma"/>
            <family val="2"/>
          </rPr>
          <t xml:space="preserve">
1 and only one (no more no less) means a valid heat pump is selected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<sst xmlns="http://schemas.openxmlformats.org/spreadsheetml/2006/main" count="3488" uniqueCount="638">
  <si>
    <t>Irish official method for rating the energy performance of dwellings</t>
  </si>
  <si>
    <t xml:space="preserve"> </t>
  </si>
  <si>
    <t>Overview of workbook</t>
  </si>
  <si>
    <t>Cell shading</t>
  </si>
  <si>
    <t>(based on Excel's standard colour palette)</t>
  </si>
  <si>
    <t>Background colours used in data cells on the worksheets signify the following.</t>
  </si>
  <si>
    <t>Colour</t>
  </si>
  <si>
    <t>Cell category</t>
  </si>
  <si>
    <t>Yellow</t>
  </si>
  <si>
    <t>User inputs</t>
  </si>
  <si>
    <t>Blue</t>
  </si>
  <si>
    <t>Main calculated results</t>
  </si>
  <si>
    <t>Green</t>
  </si>
  <si>
    <t>Constants</t>
  </si>
  <si>
    <t>None</t>
  </si>
  <si>
    <t>Intermediate calculated data</t>
  </si>
  <si>
    <t>Use of this workbook</t>
  </si>
  <si>
    <t>A calculation using this workbook should work sequentially through the individual spreadsheets as follows, leading ultimately to the display of results in the ‘Results’ worksheet:</t>
  </si>
  <si>
    <t>Worksheet</t>
  </si>
  <si>
    <t>Main user entry actions</t>
  </si>
  <si>
    <t>Visible calculated outcome</t>
  </si>
  <si>
    <t>Proj</t>
  </si>
  <si>
    <t>As entered</t>
  </si>
  <si>
    <t>Project</t>
  </si>
  <si>
    <t>Project details</t>
  </si>
  <si>
    <t>Dwelling type</t>
  </si>
  <si>
    <t>Address</t>
  </si>
  <si>
    <t>Eircode</t>
  </si>
  <si>
    <t>MPRN Number</t>
  </si>
  <si>
    <t>Date of assessment</t>
  </si>
  <si>
    <t>Name</t>
  </si>
  <si>
    <t>Phone</t>
  </si>
  <si>
    <t>Email</t>
  </si>
  <si>
    <t>Assessor details</t>
  </si>
  <si>
    <t>Title</t>
  </si>
  <si>
    <t>Company</t>
  </si>
  <si>
    <t>Comments</t>
  </si>
  <si>
    <t>Yes</t>
  </si>
  <si>
    <t>No</t>
  </si>
  <si>
    <t>hrs</t>
  </si>
  <si>
    <t>Efficiency Adjustment Factor</t>
  </si>
  <si>
    <t>litres</t>
  </si>
  <si>
    <t>kWh/yr</t>
  </si>
  <si>
    <t>kWh</t>
  </si>
  <si>
    <t>Electricity</t>
  </si>
  <si>
    <t>[%]</t>
  </si>
  <si>
    <t>Total</t>
  </si>
  <si>
    <t>Fuel</t>
  </si>
  <si>
    <t>Space heating</t>
  </si>
  <si>
    <t>Results</t>
  </si>
  <si>
    <t>manufactured smokeless fuel</t>
  </si>
  <si>
    <t>Biodiesel from renewable sources only</t>
  </si>
  <si>
    <t>Bioethanol from renewable sources only</t>
  </si>
  <si>
    <t>Assessment of Heat Pump Performance</t>
  </si>
  <si>
    <t>I.S. EN 14825</t>
  </si>
  <si>
    <t>Air to Water</t>
  </si>
  <si>
    <t>Heat Emission Type</t>
  </si>
  <si>
    <t>Fixed Outlet</t>
  </si>
  <si>
    <t>No Hot Water Store</t>
  </si>
  <si>
    <t>3XS</t>
  </si>
  <si>
    <t>ERROR</t>
  </si>
  <si>
    <r>
      <t>Water heating energy efficiency, η</t>
    </r>
    <r>
      <rPr>
        <sz val="10.8"/>
        <rFont val="Calibri"/>
        <family val="2"/>
      </rPr>
      <t>wh</t>
    </r>
  </si>
  <si>
    <t>I.S. EN 14511</t>
  </si>
  <si>
    <t>Brine to Water</t>
  </si>
  <si>
    <t>1 or more Radiators present</t>
  </si>
  <si>
    <t>Variable Outlet</t>
  </si>
  <si>
    <t>Low Temperature</t>
  </si>
  <si>
    <t>Integral Hot Water Storage</t>
  </si>
  <si>
    <t>XXS</t>
  </si>
  <si>
    <t>Coefficient of Performance, COP</t>
  </si>
  <si>
    <t>Total heat loss (W/K) taken from DEAP</t>
  </si>
  <si>
    <t>W/K</t>
  </si>
  <si>
    <t>I.S. EN 255-3</t>
  </si>
  <si>
    <t>Water to Water</t>
  </si>
  <si>
    <t>Fan Coil Units present (no radiators)</t>
  </si>
  <si>
    <t>Mains Gas</t>
  </si>
  <si>
    <t>High Temperature</t>
  </si>
  <si>
    <t>Separate Hot Water Storage</t>
  </si>
  <si>
    <t>XS</t>
  </si>
  <si>
    <t>Heat Loss Watts</t>
  </si>
  <si>
    <t>Watts</t>
  </si>
  <si>
    <t>I.S. EN 16147</t>
  </si>
  <si>
    <t>Exhaust Air to Water</t>
  </si>
  <si>
    <t>Underfloor heating only</t>
  </si>
  <si>
    <t>LPG Gas (bottled or bulk)</t>
  </si>
  <si>
    <t>Integral and separate Hot Water Storage</t>
  </si>
  <si>
    <t>S</t>
  </si>
  <si>
    <t>Is the Heat Pump part of a Group Heating Scheme</t>
  </si>
  <si>
    <t>Air to Air</t>
  </si>
  <si>
    <t>Air</t>
  </si>
  <si>
    <t>Heating Oil</t>
  </si>
  <si>
    <t>M</t>
  </si>
  <si>
    <t>%</t>
  </si>
  <si>
    <t>Brine to Air</t>
  </si>
  <si>
    <t>L</t>
  </si>
  <si>
    <t>Floor Area of Dwelling</t>
  </si>
  <si>
    <t>Water to Air</t>
  </si>
  <si>
    <t>XL</t>
  </si>
  <si>
    <t>If Heat Pump serves a Group Heat Scheme, the total Floor Area served by Heat Pump is:</t>
  </si>
  <si>
    <t>House coal/ Anthracite</t>
  </si>
  <si>
    <t>XXL</t>
  </si>
  <si>
    <t>3XL</t>
  </si>
  <si>
    <t>Manufacturer of the installed heat pump(s)</t>
  </si>
  <si>
    <t>Peat</t>
  </si>
  <si>
    <t>4XL</t>
  </si>
  <si>
    <t>Model of the installed heat pump(s)</t>
  </si>
  <si>
    <t>Wood logs/pellets/chips</t>
  </si>
  <si>
    <t>Type of heat pump</t>
  </si>
  <si>
    <t>Solid multi-fuel</t>
  </si>
  <si>
    <t>Temperature Control 
(refered to as Capacity Control in Ecodesign Standard Template)</t>
  </si>
  <si>
    <t>Source from Ecodesign Data</t>
  </si>
  <si>
    <t>Space Heating Test Standard</t>
  </si>
  <si>
    <t>Operation Limit Temperature (TOL)</t>
  </si>
  <si>
    <r>
      <t>o</t>
    </r>
    <r>
      <rPr>
        <sz val="12"/>
        <rFont val="Calibri"/>
        <family val="2"/>
      </rPr>
      <t>C</t>
    </r>
  </si>
  <si>
    <t xml:space="preserve">Source from Ecodesign Data </t>
  </si>
  <si>
    <t>Heating water operating limit temperature (WTOL)</t>
  </si>
  <si>
    <t>Annual space heating provided by Heat Pump</t>
  </si>
  <si>
    <t>Design Outdoor Temperature</t>
  </si>
  <si>
    <t>Based on CIBSE Guide A Section 2</t>
  </si>
  <si>
    <t>Indoor Design Temperature (Mean Internal Temperature)</t>
  </si>
  <si>
    <t>Source from Net Space Heat Demand "Required mean internal temperature during heating hours degC"</t>
  </si>
  <si>
    <t>Select all that apply:</t>
  </si>
  <si>
    <t>1 or more Radiators</t>
  </si>
  <si>
    <t>1 or more Fan Coil Units</t>
  </si>
  <si>
    <t>Default Supply Temperature</t>
  </si>
  <si>
    <t>Underfloor Heating</t>
  </si>
  <si>
    <t>Based on SAP input parameters.</t>
  </si>
  <si>
    <t>Air used as Emitter (to Air Units)</t>
  </si>
  <si>
    <t>Design Flow Temperature
Use "Default Supply Temperature" unless other evidence available</t>
  </si>
  <si>
    <t>Note: have deleted Row 31 as this is dealt with in the calcs on heating calc (row 38)</t>
  </si>
  <si>
    <t>Exponent n, characterising type of emission system</t>
  </si>
  <si>
    <t>Source from SAP 2009 &amp; 2012 - Calculation Methodology for electrically driven heat pumps</t>
  </si>
  <si>
    <t>Emitter Temperature Drop</t>
  </si>
  <si>
    <t>Return Temperature at design conditions</t>
  </si>
  <si>
    <t>No of Hrs per Day Heat Pump in Operation</t>
  </si>
  <si>
    <t>Source from Designer/ Installer sign off sheet, default is DEAP heating schedule which is 8 hrs a day</t>
  </si>
  <si>
    <t>Cut-out hours</t>
  </si>
  <si>
    <t>Electricity Primary Energy Factor</t>
  </si>
  <si>
    <t>Is a Back Up Space Heater Present within Dwelling</t>
  </si>
  <si>
    <t>Source from Designer/ Installer sign off sheet</t>
  </si>
  <si>
    <t>Back Up Space Heater Fuel</t>
  </si>
  <si>
    <t>Primary Energy Factor for Back Up Space Heater</t>
  </si>
  <si>
    <t>Efficiency of Back up Space Heater</t>
  </si>
  <si>
    <t>Based on DEAP Methodology, defaults taken from DEAP Manual.</t>
  </si>
  <si>
    <t>Medium Temperature</t>
  </si>
  <si>
    <r>
      <t>A (88%)
-7</t>
    </r>
    <r>
      <rPr>
        <b/>
        <vertAlign val="superscript"/>
        <sz val="12"/>
        <color indexed="8"/>
        <rFont val="Calibri"/>
        <family val="2"/>
      </rPr>
      <t>o</t>
    </r>
    <r>
      <rPr>
        <b/>
        <sz val="12"/>
        <color indexed="8"/>
        <rFont val="Calibri"/>
        <family val="2"/>
      </rPr>
      <t>C</t>
    </r>
  </si>
  <si>
    <r>
      <t>B (54%)
2</t>
    </r>
    <r>
      <rPr>
        <b/>
        <vertAlign val="superscript"/>
        <sz val="12"/>
        <color indexed="8"/>
        <rFont val="Calibri"/>
        <family val="2"/>
      </rPr>
      <t>o</t>
    </r>
    <r>
      <rPr>
        <b/>
        <sz val="12"/>
        <color indexed="8"/>
        <rFont val="Calibri"/>
        <family val="2"/>
      </rPr>
      <t>C</t>
    </r>
  </si>
  <si>
    <r>
      <t>C (35%)
7</t>
    </r>
    <r>
      <rPr>
        <b/>
        <vertAlign val="superscript"/>
        <sz val="12"/>
        <color indexed="8"/>
        <rFont val="Calibri"/>
        <family val="2"/>
      </rPr>
      <t>o</t>
    </r>
    <r>
      <rPr>
        <b/>
        <sz val="12"/>
        <color indexed="8"/>
        <rFont val="Calibri"/>
        <family val="2"/>
      </rPr>
      <t>C</t>
    </r>
  </si>
  <si>
    <r>
      <t>D (15%)
12</t>
    </r>
    <r>
      <rPr>
        <b/>
        <vertAlign val="superscript"/>
        <sz val="12"/>
        <color indexed="8"/>
        <rFont val="Calibri"/>
        <family val="2"/>
      </rPr>
      <t>o</t>
    </r>
    <r>
      <rPr>
        <b/>
        <sz val="12"/>
        <color indexed="8"/>
        <rFont val="Calibri"/>
        <family val="2"/>
      </rPr>
      <t>C</t>
    </r>
  </si>
  <si>
    <t>E* (100%)
TOL</t>
  </si>
  <si>
    <t>Source</t>
  </si>
  <si>
    <t>Sink</t>
  </si>
  <si>
    <t>Heating Capacity (kW)</t>
  </si>
  <si>
    <t>Coefficient of Performance (kW/kW)</t>
  </si>
  <si>
    <t>Source from Designer/ Installer sign off sheet or site evidence without Ecodesign</t>
  </si>
  <si>
    <t>Water Heating Test Standard</t>
  </si>
  <si>
    <t>Source from the Water Heating Tab, Output from Main Water Heater in DEAP</t>
  </si>
  <si>
    <t>Type of DHW</t>
  </si>
  <si>
    <t>An Integral Hot Water Store forms part of the Heat Pump, refer to DEAP Heat Pump Methodology for guidance.</t>
  </si>
  <si>
    <t>Cold Water Inlet Temperature</t>
  </si>
  <si>
    <t>Based on DEAP Methodology</t>
  </si>
  <si>
    <t>Required Flow Temperature from Heat Pump to Hot Water Storage</t>
  </si>
  <si>
    <r>
      <t>Based on DEAP Methodology and guidelines for prevention of Legionella. Where the store is separate to the heat pump a 5</t>
    </r>
    <r>
      <rPr>
        <vertAlign val="superscript"/>
        <sz val="12"/>
        <rFont val="Calibri"/>
        <family val="2"/>
      </rPr>
      <t>o</t>
    </r>
    <r>
      <rPr>
        <sz val="12"/>
        <rFont val="Calibri"/>
        <family val="2"/>
      </rPr>
      <t>C drop is assumed.</t>
    </r>
  </si>
  <si>
    <t>Volume of DHW Storage</t>
  </si>
  <si>
    <t>Is there a water heater installed as back up for the heat pump</t>
  </si>
  <si>
    <t>Back Up Water Heater Fuel</t>
  </si>
  <si>
    <t>Primary Energy Factor for Back Up Water Heater</t>
  </si>
  <si>
    <t>Efficiency of Back up Water Heater</t>
  </si>
  <si>
    <t>Source of data</t>
  </si>
  <si>
    <t xml:space="preserve">Equivalent Coefficient of Performance </t>
  </si>
  <si>
    <t>kW/kW</t>
  </si>
  <si>
    <t>Reference Hot Water Temperature</t>
  </si>
  <si>
    <t>Required Source Temperature</t>
  </si>
  <si>
    <t>Capacity of Heat Pump</t>
  </si>
  <si>
    <t>kW</t>
  </si>
  <si>
    <t>Declared Load Profile</t>
  </si>
  <si>
    <t>Standby Heat Loss</t>
  </si>
  <si>
    <t>kWh/day</t>
  </si>
  <si>
    <t>Volume of DHW accounted for in test</t>
  </si>
  <si>
    <t>litre</t>
  </si>
  <si>
    <t>Test Conditions EN 14511-2</t>
  </si>
  <si>
    <t>Is the Heat Pump Listed on HARP</t>
  </si>
  <si>
    <t>Enter SPF based on DEAP Methodology/ HARP</t>
  </si>
  <si>
    <t>Derive SPF from HARP, certified data COPs in compliance with DEAP methodology or from DEAP table 4a defaults</t>
  </si>
  <si>
    <t>Is there load or weather compensation present?</t>
  </si>
  <si>
    <t>Source from Designer/ Installer sign off sheet or site evidence</t>
  </si>
  <si>
    <t>Does the heat pump have an Integral Immersion</t>
  </si>
  <si>
    <t>Source from CE marked literature, CE marked dataplates or accredited test data for the heat pump in question.</t>
  </si>
  <si>
    <t>Test Conditions EN 255-3</t>
  </si>
  <si>
    <t>Coefficient of Performance</t>
  </si>
  <si>
    <t>Source from accredited test data certificate</t>
  </si>
  <si>
    <r>
      <t>Source from accredited test data certificate, set at 40</t>
    </r>
    <r>
      <rPr>
        <vertAlign val="superscript"/>
        <sz val="12"/>
        <rFont val="Calibri"/>
        <family val="2"/>
      </rPr>
      <t>o</t>
    </r>
    <r>
      <rPr>
        <sz val="12"/>
        <rFont val="Calibri"/>
        <family val="2"/>
      </rPr>
      <t>C if unknown.</t>
    </r>
  </si>
  <si>
    <t xml:space="preserve">Heating Capacity DHW </t>
  </si>
  <si>
    <t>Efficiency of Main Heating System</t>
  </si>
  <si>
    <t>Efficiency Adjustment Factor - Main Heating</t>
  </si>
  <si>
    <t>Efficiency of Main Hot Water System</t>
  </si>
  <si>
    <t>Efficiency Adjustment Factor - Main Hot Water</t>
  </si>
  <si>
    <t>EN 15316 methodology</t>
  </si>
  <si>
    <t>Bin 1</t>
  </si>
  <si>
    <t>Bin 2</t>
  </si>
  <si>
    <t>Bin 3</t>
  </si>
  <si>
    <t>Bin 4</t>
  </si>
  <si>
    <t>Bin 5</t>
  </si>
  <si>
    <t>Guidance Note</t>
  </si>
  <si>
    <t>Back Up Heating</t>
  </si>
  <si>
    <t>Bin Data</t>
  </si>
  <si>
    <t>(E) 100%</t>
  </si>
  <si>
    <t>(A) 88%</t>
  </si>
  <si>
    <t>(B) 54%</t>
  </si>
  <si>
    <t>(c) 35%</t>
  </si>
  <si>
    <t>(D)15%</t>
  </si>
  <si>
    <t>Operating Points (Bin Temperatures)</t>
  </si>
  <si>
    <t>Test Points</t>
  </si>
  <si>
    <t>TOL</t>
  </si>
  <si>
    <t>Outdoor temperature bin (deg C)</t>
  </si>
  <si>
    <t>Heating Weighting Factor…Eqt 4</t>
  </si>
  <si>
    <t>DHW Weighting Factor…Eqt 8</t>
  </si>
  <si>
    <t>Bin Time (h)</t>
  </si>
  <si>
    <t>Effective Bin Time (h)</t>
  </si>
  <si>
    <t>Energy to be produced for SH (kWh)</t>
  </si>
  <si>
    <t>Energy to be produced for DHW (kWh)</t>
  </si>
  <si>
    <t>Energy Required from Heat Pump (kWh)</t>
  </si>
  <si>
    <t>SAP Methodology Back Up Heater based on Plant Size Ratio</t>
  </si>
  <si>
    <t>Energy Required from back up (kWh)…Eqt 40</t>
  </si>
  <si>
    <t>Total Back Up Heater</t>
  </si>
  <si>
    <t>SAP Methodology - Table N9</t>
  </si>
  <si>
    <r>
      <t>Lower Limit (</t>
    </r>
    <r>
      <rPr>
        <vertAlign val="superscript"/>
        <sz val="10"/>
        <rFont val="Arial"/>
        <family val="2"/>
      </rPr>
      <t>o</t>
    </r>
    <r>
      <rPr>
        <sz val="10"/>
        <rFont val="Arial"/>
        <family val="2"/>
      </rPr>
      <t>C )</t>
    </r>
  </si>
  <si>
    <t>Mid Test Points</t>
  </si>
  <si>
    <t>Plant Size Ratio</t>
  </si>
  <si>
    <r>
      <t>Upper Limit, (</t>
    </r>
    <r>
      <rPr>
        <vertAlign val="superscript"/>
        <sz val="10"/>
        <rFont val="Arial"/>
        <family val="2"/>
      </rPr>
      <t>o</t>
    </r>
    <r>
      <rPr>
        <sz val="10"/>
        <rFont val="Arial"/>
        <family val="2"/>
      </rPr>
      <t>C )</t>
    </r>
  </si>
  <si>
    <r>
      <t>Source Temperature (</t>
    </r>
    <r>
      <rPr>
        <vertAlign val="superscript"/>
        <sz val="10"/>
        <rFont val="Arial"/>
        <family val="2"/>
      </rPr>
      <t>o</t>
    </r>
    <r>
      <rPr>
        <sz val="10"/>
        <rFont val="Arial"/>
        <family val="2"/>
      </rPr>
      <t>C)</t>
    </r>
  </si>
  <si>
    <t>Weighting Factor SH</t>
  </si>
  <si>
    <t>Space Heating Energy (kWh)</t>
  </si>
  <si>
    <t>Weighting Factor DHW</t>
  </si>
  <si>
    <t>DHW Energy (kWh)</t>
  </si>
  <si>
    <t>Test Data</t>
  </si>
  <si>
    <t>Appropriate Test Data</t>
  </si>
  <si>
    <t>Lower Test Points</t>
  </si>
  <si>
    <t>Higher Test Points</t>
  </si>
  <si>
    <t>To Air Heat Pump</t>
  </si>
  <si>
    <t>Lower Test Points - COP (kWh/kWh)</t>
  </si>
  <si>
    <t>Higher Test Points - COP (kWh/kWh)</t>
  </si>
  <si>
    <t>Lower Test Points - Heating Capacity (kW)</t>
  </si>
  <si>
    <t>Higher Test Points - Heating Capacity (kW)</t>
  </si>
  <si>
    <t>* Interpolation equation as per EN 15316, however using same methodology as MCS tool as single point data may ony be available</t>
  </si>
  <si>
    <t>Supply Flow Temperature based on Single Test Points</t>
  </si>
  <si>
    <t>Source Temperature</t>
  </si>
  <si>
    <t>Supply Flow Temperature</t>
  </si>
  <si>
    <t>Heating Capacity for Source Temp</t>
  </si>
  <si>
    <t>Heating Capacity for Supply Temp</t>
  </si>
  <si>
    <t>Refer to Heating Capacity calculated for each external temperature as per Column W. Note: As per Annex D, heating capacity cannot be adjusted for single test points</t>
  </si>
  <si>
    <t>Standard Rating Conditions</t>
  </si>
  <si>
    <t>Based on EN 14511</t>
  </si>
  <si>
    <t>Mass Flow Rate</t>
  </si>
  <si>
    <t>Temp Spread at Lower Temp</t>
  </si>
  <si>
    <t>Temp Spread at Higher Temp</t>
  </si>
  <si>
    <t>Required Heating Capacity at design conditions</t>
  </si>
  <si>
    <t>Taken from DEAP</t>
  </si>
  <si>
    <t>PSR</t>
  </si>
  <si>
    <t>Delta T for emitter</t>
  </si>
  <si>
    <t>Taken from Input</t>
  </si>
  <si>
    <t>Required Mass flow at design conditions</t>
  </si>
  <si>
    <t>Temp Spread at Lower Temp Test Points at design conditions</t>
  </si>
  <si>
    <t>Temp Spread at Higher Temp Test Points at design conditions</t>
  </si>
  <si>
    <t>Correction Factor COP Lower Temp Test Points</t>
  </si>
  <si>
    <t>Correction Factor COP Higher Temp Test Points</t>
  </si>
  <si>
    <t>COP corrected for Lower Temp</t>
  </si>
  <si>
    <t>COP corrected for Higher Temp</t>
  </si>
  <si>
    <t>Interpolation of COP</t>
  </si>
  <si>
    <t>Storage Losses</t>
  </si>
  <si>
    <t>Buffer Vessels for space heating only excluded, as per other systems in DEAP</t>
  </si>
  <si>
    <t>Space Heating Energy Requirement</t>
  </si>
  <si>
    <t>Energy to be produced by back up heater for Space Heating only</t>
  </si>
  <si>
    <t>Energy Provided by Backup Space Heater for Space Heating Only</t>
  </si>
  <si>
    <t>Back Up for Temperature Increase not included as test data for higher temperatures must be provided.</t>
  </si>
  <si>
    <t>Auxiliary Energy for central heating pumps &amp; DHW pumps excluded as allowed for in DEAP</t>
  </si>
  <si>
    <t>Recoverable heat from auxiliary energy (pumps) and thermal losses (storage) excluded as allowed for in DEAP</t>
  </si>
  <si>
    <t>SPF - Heat Pump &amp; Back up Heater</t>
  </si>
  <si>
    <t>Renewable Contribution calculated in DEAP</t>
  </si>
  <si>
    <t>Space Heating Provided by Heat Pump</t>
  </si>
  <si>
    <t>SPF - Heat Pump only</t>
  </si>
  <si>
    <t>Renewable Contribution provided by Heat Pump</t>
  </si>
  <si>
    <t>% Renewable</t>
  </si>
  <si>
    <t>Renewable Contribution from Exhaust Air Heat Pump</t>
  </si>
  <si>
    <t xml:space="preserve">kWh </t>
  </si>
  <si>
    <t>From Ecodesign / 814</t>
  </si>
  <si>
    <t>Tapping Cycle</t>
  </si>
  <si>
    <t>Test Check</t>
  </si>
  <si>
    <t>Installed Check</t>
  </si>
  <si>
    <t>Error - Test</t>
  </si>
  <si>
    <t>Error - Dwelling</t>
  </si>
  <si>
    <t>Volume of Tank in Test</t>
  </si>
  <si>
    <t>based on test data</t>
  </si>
  <si>
    <t>Average Storage Temperature</t>
  </si>
  <si>
    <t>oC</t>
  </si>
  <si>
    <t>Standby Heat loss</t>
  </si>
  <si>
    <t>Min Volume for cycle</t>
  </si>
  <si>
    <t>DHW Demand based on Cycle</t>
  </si>
  <si>
    <t>based on default for Cycle</t>
  </si>
  <si>
    <t>Efficiency for DEAP</t>
  </si>
  <si>
    <t>Reference Temperature</t>
  </si>
  <si>
    <r>
      <rPr>
        <vertAlign val="superscript"/>
        <sz val="10"/>
        <rFont val="Arial"/>
        <family val="2"/>
      </rPr>
      <t>o</t>
    </r>
    <r>
      <rPr>
        <sz val="10"/>
        <rFont val="Arial"/>
        <family val="2"/>
      </rPr>
      <t>C</t>
    </r>
  </si>
  <si>
    <t>Temperature of DHW</t>
  </si>
  <si>
    <t>Temperature of Cold Water Inlet</t>
  </si>
  <si>
    <t>Fraction of Demand met by backup energy to meet temperature shortfall</t>
  </si>
  <si>
    <t>based on eqt 18 from EN 15316</t>
  </si>
  <si>
    <t>DHW Demand for Dwelling</t>
  </si>
  <si>
    <t>Required Running Hours</t>
  </si>
  <si>
    <t>Effective Bin Time</t>
  </si>
  <si>
    <t>Difference between Req and Effective</t>
  </si>
  <si>
    <t>Fraction of Demand met by backup to meet operation hours shortfall</t>
  </si>
  <si>
    <t>Back Up Heater due to temperature shortfall</t>
  </si>
  <si>
    <t>Back Up Heater due to operation shortfall</t>
  </si>
  <si>
    <t>Total Electricity Required for Water Heating</t>
  </si>
  <si>
    <t>SPF</t>
  </si>
  <si>
    <t>Hot Water Provided by Heat Pump</t>
  </si>
  <si>
    <t>EN 255-3</t>
  </si>
  <si>
    <t>COP based on EN 255</t>
  </si>
  <si>
    <t>Fraction of Backup energy due to temperature shortfall</t>
  </si>
  <si>
    <t>Electricity required by Heat Pump</t>
  </si>
  <si>
    <t>Electricity required by Back Up Heater</t>
  </si>
  <si>
    <t>SPF - Heat Pump Only</t>
  </si>
  <si>
    <t>EN 14511</t>
  </si>
  <si>
    <t>COP based on EN 14511</t>
  </si>
  <si>
    <t xml:space="preserve">  </t>
  </si>
  <si>
    <t>Design Temperature</t>
  </si>
  <si>
    <t>DHW Energy kWh</t>
  </si>
  <si>
    <r>
      <t xml:space="preserve">Name IRL_Dublin_IWEC2.epw
Description IWEC2- ASHRAE
Latitude 53.43000031
Longitude -6.25
Time Zone -0.419999987
</t>
    </r>
    <r>
      <rPr>
        <b/>
        <sz val="11"/>
        <color indexed="8"/>
        <rFont val="Calibri"/>
        <family val="2"/>
      </rPr>
      <t>Year 2000</t>
    </r>
    <r>
      <rPr>
        <sz val="10"/>
        <rFont val="Arial"/>
        <family val="2"/>
      </rPr>
      <t xml:space="preserve">
Ground Source Temperature 11.97182465
Altitude 0
Number of hours per bin</t>
    </r>
  </si>
  <si>
    <t>Cumulative Hrs</t>
  </si>
  <si>
    <t>Heating Degree Hrs</t>
  </si>
  <si>
    <t>Cumulative heating Degree Hrs</t>
  </si>
  <si>
    <t>% Renewable Contribution from Exhaust Heat Pump for Space Heating</t>
  </si>
  <si>
    <t>% Renewable Contribution from Exhaust Heat Pump for Water Heating</t>
  </si>
  <si>
    <t>% renewables</t>
  </si>
  <si>
    <t>% of Hot Water Provided by Heat Pump</t>
  </si>
  <si>
    <t>Water Heating Provided by Heat Pump</t>
  </si>
  <si>
    <t>Space Heating calculations for Heat Pump</t>
  </si>
  <si>
    <t>Water Heating calculations for Heat Pump</t>
  </si>
  <si>
    <t>Meteorological Data</t>
  </si>
  <si>
    <t>Bin data for heat pump calculation</t>
  </si>
  <si>
    <t>Description:</t>
  </si>
  <si>
    <t>Value:</t>
  </si>
  <si>
    <t>Unit:</t>
  </si>
  <si>
    <t>Guidance Notes:</t>
  </si>
  <si>
    <t>Code for Space Heating/ DHW</t>
  </si>
  <si>
    <t>Space Heating served by HP</t>
  </si>
  <si>
    <t>Hot Water served by HP</t>
  </si>
  <si>
    <t>Describe the water heating heat pump arrangement</t>
  </si>
  <si>
    <t>Same Heat Pump providing Space Heating and Domestic Hot Water</t>
  </si>
  <si>
    <t>Separate Heat Pump providing Space Heating and Domestic Hot Water</t>
  </si>
  <si>
    <t>Same HP for Space and Water Heating</t>
  </si>
  <si>
    <t>Dwelling Energy Assessment Procedure (DEAP) heat pump methodology update</t>
  </si>
  <si>
    <t>For use alongside DEAP 4</t>
  </si>
  <si>
    <t>Living area of dwelling</t>
  </si>
  <si>
    <t>Annual space heat requirement (total)</t>
  </si>
  <si>
    <t>Fraction of heat from CHP</t>
  </si>
  <si>
    <t>0&lt;=fraction &lt;1</t>
  </si>
  <si>
    <t>Sourced from DEAP: Space heating: Controls and responsiveness tab (or Sh tab in DEAP workbook)</t>
  </si>
  <si>
    <t>Sourced from DEAP  "results" tab (or DEAP workbook Fab tab). This is the sum of heat losses from fabric + ventilation + windows</t>
  </si>
  <si>
    <t>Sourced from DEAP: Building: Floors tab (or Dim tab in DEAP workbook)</t>
  </si>
  <si>
    <t>Sourced from DEAP: View assessment: Gains/losses (or SH tab in DEAP workbook)</t>
  </si>
  <si>
    <t>Sourced from DEAP: Space heating: heat sources (or ER1/ER2 tab in DEAP workbook)</t>
  </si>
  <si>
    <t>Output from main water heater</t>
  </si>
  <si>
    <t>Sourced from DEAP: View assessment: Water (or WH tab in DEAP workbook)</t>
  </si>
  <si>
    <t>Sourced from DEAP: Space heating: heat sources (or ER2 tab in DEAP workbook)</t>
  </si>
  <si>
    <t>DEAPEntries</t>
  </si>
  <si>
    <t>Sourced from DEAP: View assessment: Results (or Fuel tab in DEAP workbook)</t>
  </si>
  <si>
    <t>Sourced from DEAP: Water Heating: options and storage (or WH tab in DEAP workbook)</t>
  </si>
  <si>
    <t>Sourced from development design details</t>
  </si>
  <si>
    <t>Efficiency of space heating heat pump + backup</t>
  </si>
  <si>
    <t>Efficiency of water heating heat pump + backup</t>
  </si>
  <si>
    <t>Space heating fuel type</t>
  </si>
  <si>
    <t>Water heating fuel type</t>
  </si>
  <si>
    <t>Type of space heating heat pump</t>
  </si>
  <si>
    <t>Type of water heating heat pump</t>
  </si>
  <si>
    <t>Enter fields as shown in this tab, taken from the DEAP software and design data</t>
  </si>
  <si>
    <t>Efficiency of Space Heating Heat Pump, Water Heating Heat Pump, Renewable Contribution. Used in "DEAPEntries" tab above</t>
  </si>
  <si>
    <t>Heat Pump Efficiency</t>
  </si>
  <si>
    <t>Heat Use</t>
  </si>
  <si>
    <t>Environmental</t>
  </si>
  <si>
    <t>Water heating</t>
  </si>
  <si>
    <t>Fuel usage (elec or gas)</t>
  </si>
  <si>
    <t xml:space="preserve">Is this a Low Temperature Heat Pump? </t>
  </si>
  <si>
    <t>Not low temperature heat pump</t>
  </si>
  <si>
    <t xml:space="preserve">Is this heat pump electric or gas (GAHP)? </t>
  </si>
  <si>
    <t>Ecodesign applies and/or ecodesign data available</t>
  </si>
  <si>
    <t>HP fuel</t>
  </si>
  <si>
    <t>Low temperature heat pump</t>
  </si>
  <si>
    <t>Gas fired (GAHP)</t>
  </si>
  <si>
    <t>Does Ecodesign apply?</t>
  </si>
  <si>
    <t>What is the status of this heat pump regarding Ecodesign data?</t>
  </si>
  <si>
    <t>Ecodesign doesn't apply and ecodesign data unavailable</t>
  </si>
  <si>
    <t>Direct exchange (DX)</t>
  </si>
  <si>
    <t>I.S. EN 12309-6</t>
  </si>
  <si>
    <t>I.S. EN  13203-6</t>
  </si>
  <si>
    <t>For Bin 1, the Lower Limit is the Lowest Outdoor Temperature.  See 7.3.1 and Table 15</t>
  </si>
  <si>
    <t>For Bin 5, the Upper Limit is the Upper Outdoor Temperature.  See 7.3.1 and Table 15</t>
  </si>
  <si>
    <t>EN 15316-4-2 Eqt 55</t>
  </si>
  <si>
    <t>Eqt 56</t>
  </si>
  <si>
    <t>Eqt 57</t>
  </si>
  <si>
    <t>Eqt 58</t>
  </si>
  <si>
    <t>Eqt 59</t>
  </si>
  <si>
    <t>Eqt 60</t>
  </si>
  <si>
    <r>
      <t>As per SAP approach - Based on 55</t>
    </r>
    <r>
      <rPr>
        <vertAlign val="superscript"/>
        <sz val="10"/>
        <rFont val="Arial"/>
        <family val="2"/>
      </rPr>
      <t>o</t>
    </r>
    <r>
      <rPr>
        <sz val="10"/>
        <rFont val="Arial"/>
        <family val="2"/>
      </rPr>
      <t>C only (or 35</t>
    </r>
    <r>
      <rPr>
        <vertAlign val="superscript"/>
        <sz val="10"/>
        <rFont val="Arial"/>
        <family val="2"/>
      </rPr>
      <t>o</t>
    </r>
    <r>
      <rPr>
        <sz val="10"/>
        <rFont val="Arial"/>
        <family val="2"/>
      </rPr>
      <t>C for low temperature heat pumps)</t>
    </r>
  </si>
  <si>
    <t>Section F2.1 (2008 version of 15316-4-2, not provided in 15316-4-2:2017 or associated standards)</t>
  </si>
  <si>
    <t>As per SAP approach in 2016 and 2012</t>
  </si>
  <si>
    <t xml:space="preserve">Section 7.5.1 </t>
  </si>
  <si>
    <t>Linear Interpolation (Section 7.5.1)</t>
  </si>
  <si>
    <t>kg/s, Equation D.7</t>
  </si>
  <si>
    <r>
      <rPr>
        <vertAlign val="superscript"/>
        <sz val="10"/>
        <rFont val="Arial"/>
        <family val="2"/>
      </rPr>
      <t>o</t>
    </r>
    <r>
      <rPr>
        <sz val="10"/>
        <rFont val="Arial"/>
        <family val="2"/>
      </rPr>
      <t>C, Equation D.7</t>
    </r>
  </si>
  <si>
    <t>eqt D.8</t>
  </si>
  <si>
    <t>Linear Interpolation refer to Eqt D4
Single Point</t>
  </si>
  <si>
    <t>Supply Flow Temp oC…as per SAP</t>
  </si>
  <si>
    <t>Heating Capacity kW…As per 7.5.1 and MCS Tool* (see below)</t>
  </si>
  <si>
    <t>Required Running Hours (hr) Section 6.6.3</t>
  </si>
  <si>
    <t>Diff between Required Running Hrs and Effective Bin..Section 6.6.3</t>
  </si>
  <si>
    <t>based on equation from SAP 2009 &amp; 2012 - Calculation Methodology for electrically driven heat pumps, converting 15316-4-2 SPF to SAP SPF</t>
  </si>
  <si>
    <t>based on eqt 58 from EN 15316</t>
  </si>
  <si>
    <t>Test temps</t>
  </si>
  <si>
    <r>
      <t xml:space="preserve">Heat emission type served by heat pump within the dwelling: </t>
    </r>
    <r>
      <rPr>
        <b/>
        <sz val="12"/>
        <rFont val="Symbol"/>
        <family val="1"/>
        <charset val="2"/>
      </rPr>
      <t>¯</t>
    </r>
  </si>
  <si>
    <t>Taken as 16 based on EN14825/EN12309-6</t>
  </si>
  <si>
    <r>
      <t>For Single set of test points, the COP is based on adjustment in Annex D &amp; eqt D.4 and is based on Supply Temp of 55oC (or 35</t>
    </r>
    <r>
      <rPr>
        <vertAlign val="superscript"/>
        <sz val="10"/>
        <rFont val="Arial"/>
        <family val="2"/>
      </rPr>
      <t>o</t>
    </r>
    <r>
      <rPr>
        <sz val="10"/>
        <rFont val="Arial"/>
        <family val="2"/>
      </rPr>
      <t>C for low temperature heat pumps), to meet the mandatory test results for Ecodesign. As outlined in Annex D, accuracy deteriorates with increasing distance from test points therefore methodology not used for Fixed Outlet. Updated 1st half 2019 to fix case where Avoiding negative COPs in interpolation formula....as identified in public consultation document</t>
    </r>
  </si>
  <si>
    <t>Heat pump fuel primary energy factor</t>
  </si>
  <si>
    <t>Depends on whether electric or GAHP</t>
  </si>
  <si>
    <t>Manufactured smokeless fuel</t>
  </si>
  <si>
    <t>Adjusted Efficiency of Back up Space Heater relative to fuel used for heat pump</t>
  </si>
  <si>
    <t>Heat pump fuel primary energy factor (DHW)</t>
  </si>
  <si>
    <t>Adjusted Efficiency of Back up Water Heater relative to fuel used by heat pump</t>
  </si>
  <si>
    <t>Source from Ecodesign Data or accredited tests to EN 16147  (or EN13203-6 for GAHP)</t>
  </si>
  <si>
    <r>
      <t>Source from Ecodesign Data or accredited tests to EN 16147, set at 40</t>
    </r>
    <r>
      <rPr>
        <vertAlign val="superscript"/>
        <sz val="12"/>
        <rFont val="Calibri"/>
        <family val="2"/>
      </rPr>
      <t>o</t>
    </r>
    <r>
      <rPr>
        <sz val="12"/>
        <rFont val="Calibri"/>
        <family val="2"/>
      </rPr>
      <t>C if unknown.  (or EN13203-6 for GAHP)</t>
    </r>
  </si>
  <si>
    <t>Based on Table 5 of EN 16147  (or EN13203-6 for GAHP)</t>
  </si>
  <si>
    <t>Source from Ecodesign Data, manufacturers data or accredited tests to EN 16147  (or EN13203-6 for GAHP)</t>
  </si>
  <si>
    <t>Source from Ecodesign Data or accredited tests to EN 16147  (or EN13203-6 for GAHP), set as 0 if unknown</t>
  </si>
  <si>
    <t>Depends on heat pump type</t>
  </si>
  <si>
    <t>This is irrelevant for low temp heat pumps but required otherwise</t>
  </si>
  <si>
    <t>Taken from Input Sheet COP</t>
  </si>
  <si>
    <t>Taken from Input Sheet Capacity</t>
  </si>
  <si>
    <t>Very high Temperature</t>
  </si>
  <si>
    <t>For HP tab</t>
  </si>
  <si>
    <r>
      <t>Lower Test Points - sink temperature (</t>
    </r>
    <r>
      <rPr>
        <vertAlign val="superscript"/>
        <sz val="10"/>
        <rFont val="Arial"/>
        <family val="2"/>
      </rPr>
      <t>o</t>
    </r>
    <r>
      <rPr>
        <sz val="10"/>
        <rFont val="Arial"/>
        <family val="2"/>
      </rPr>
      <t>C)</t>
    </r>
  </si>
  <si>
    <r>
      <t>Higher Test Points - sink temperature (</t>
    </r>
    <r>
      <rPr>
        <vertAlign val="superscript"/>
        <sz val="10"/>
        <rFont val="Arial"/>
        <family val="2"/>
      </rPr>
      <t>o</t>
    </r>
    <r>
      <rPr>
        <sz val="10"/>
        <rFont val="Arial"/>
        <family val="2"/>
      </rPr>
      <t>C )</t>
    </r>
  </si>
  <si>
    <t xml:space="preserve">Supply flow temp in "single test point" case = </t>
  </si>
  <si>
    <t>Source temp depends on source being air, water, brine, exhaust air, DX</t>
  </si>
  <si>
    <t>Not applicable, for water and exhaust heat pumps the source temperature is constant, for air heat pumps we have test data at various conditions and for brine/DX heat pumps as we don't have different source temperatures it is not possible to carry out interpolation.</t>
  </si>
  <si>
    <t>DeltaT</t>
  </si>
  <si>
    <t>Tout</t>
  </si>
  <si>
    <t>In EN 14825, the water flow rate is determined according to EN 14511 at standard rating conditions. Similar approach for GAHP using standard rating conditions from EN12309. Updated 1st half 2019 as identified in consultation document</t>
  </si>
  <si>
    <t>As per consultation 1st half 2019: The constant values for ΔTsk and ΔTsc 5 (annotated as ϑHP;gen;cond;int(t) and ϑHP;gen;evap;int(t) in the 2017 version of the EN15316-4-2 standard) have increased from 4K to 5K.</t>
  </si>
  <si>
    <t xml:space="preserve">As per consultation 1st half 2019: The constant values for ΔTsk and ΔTsc 5 (annotated as ϑHP;gen;cond;int(t) and ϑHP;gen;evap;int(t) in the 2017 version of the EN15316-4-2 standard) have increased from 4K to 5K. </t>
  </si>
  <si>
    <t>This has been converted to equivalent energy in the same fuel as the heat pump using Bivalent system</t>
  </si>
  <si>
    <t>Total Delivered Energy Required (this will be gas or elec)</t>
  </si>
  <si>
    <t>Delivered fuel  (gas or elec) for Space Heating from heat pump</t>
  </si>
  <si>
    <t>If "Exhaust Air Heat Pump(s)" what is the total exhaust Air Flow Rate</t>
  </si>
  <si>
    <t>Heat Pump Electricity/gas</t>
  </si>
  <si>
    <t>Efficiency of Back up Water Heater adjusted relative to fuel type of Heatpump</t>
  </si>
  <si>
    <t>Total Fuel Required for Water Heating</t>
  </si>
  <si>
    <t>Flat rate charge factor (set to 1 if not group heating)</t>
  </si>
  <si>
    <r>
      <t>m</t>
    </r>
    <r>
      <rPr>
        <vertAlign val="superscript"/>
        <sz val="11"/>
        <rFont val="Calibri"/>
        <family val="2"/>
      </rPr>
      <t>2</t>
    </r>
  </si>
  <si>
    <r>
      <t>m</t>
    </r>
    <r>
      <rPr>
        <vertAlign val="superscript"/>
        <sz val="11"/>
        <rFont val="Calibri"/>
        <family val="2"/>
      </rPr>
      <t>3</t>
    </r>
    <r>
      <rPr>
        <sz val="11"/>
        <rFont val="Calibri"/>
        <family val="2"/>
      </rPr>
      <t>/h</t>
    </r>
  </si>
  <si>
    <t>Group heating % of heat from water heating</t>
  </si>
  <si>
    <t>Group heating % of heat from space heating</t>
  </si>
  <si>
    <t>Space Heating Provided by Heat Pump (not incl backup)</t>
  </si>
  <si>
    <t>Only relevant for EAHP</t>
  </si>
  <si>
    <t>Water heating energy efficiency, ηwh</t>
  </si>
  <si>
    <t>Additional renewable contribution when discounting backup</t>
  </si>
  <si>
    <t>Space heating valid options (where blank, that standard is not applicable to selected heat pump)</t>
  </si>
  <si>
    <t>Water heating valid options (where blank, that standard is not applicable to selected heat pump)</t>
  </si>
  <si>
    <t>Space heating valid standards</t>
  </si>
  <si>
    <t>Water heating valid standards</t>
  </si>
  <si>
    <t>Selector</t>
  </si>
  <si>
    <t>Electric / Gas(GAHP)</t>
  </si>
  <si>
    <t>Low temperature</t>
  </si>
  <si>
    <t xml:space="preserve">Ecodesign applicable? </t>
  </si>
  <si>
    <t>Space heating HP type</t>
  </si>
  <si>
    <t>Water heat pump type</t>
  </si>
  <si>
    <t>Valid water heat pump type selected.</t>
  </si>
  <si>
    <t>Valid space heat pump type selected.</t>
  </si>
  <si>
    <t>Diagnostics data in grey cells below showing summary of selections (these will be #NA if invalid options were selected in this section):</t>
  </si>
  <si>
    <t>Results: See DEAP Entries tab for detail on results for use in DEAP</t>
  </si>
  <si>
    <t>Used by this tool to identify erroneous heat pump types or erroneous standards selections</t>
  </si>
  <si>
    <t>Exhaust Air to Air</t>
  </si>
  <si>
    <t>To air?</t>
  </si>
  <si>
    <t>Low temp?</t>
  </si>
  <si>
    <t>Expected selection for each application</t>
  </si>
  <si>
    <t>I.S. EN 13141</t>
  </si>
  <si>
    <t>I.S. EN 14825/14511</t>
  </si>
  <si>
    <t>-</t>
  </si>
  <si>
    <t>Max share of hot water by this HP system</t>
  </si>
  <si>
    <t>DeltaT is based on EN14511 for electrically driven heat pumps and EN12309 for GAHP, 4.182 kJ/kg/K is the specific heat capacity of water. Also accounts for "to air" systems as  (5 x 4.182 degree delta T ≈ 1.2*(35-RoomTemp))</t>
  </si>
  <si>
    <t>Renewables shown in DEAP</t>
  </si>
  <si>
    <t>Correct renewable contribution</t>
  </si>
  <si>
    <t>Check 0</t>
  </si>
  <si>
    <t>Operational temp min this HP</t>
  </si>
  <si>
    <t>I.S. EN 14825 Test Conditions 
(or EN12309-6 for GAHP or EN13141 is some cases)</t>
  </si>
  <si>
    <t>EN 16147 (or EN13203-6 for GAHP, or 14825 in limited pre-heat cases)</t>
  </si>
  <si>
    <t>Exhaust Air Flow Rate (m3/hr)</t>
  </si>
  <si>
    <t>Adjustment to renewable part L contribution</t>
  </si>
  <si>
    <t xml:space="preserve">Is source preheated? </t>
  </si>
  <si>
    <r>
      <t xml:space="preserve">Heat pump standalone without backup </t>
    </r>
    <r>
      <rPr>
        <u/>
        <sz val="12"/>
        <rFont val="Calibri"/>
        <family val="2"/>
      </rPr>
      <t>(not accounting for Exhaust adjustment)</t>
    </r>
  </si>
  <si>
    <t>check 0 for 
14825/ 16147/ 
12309-6/ 13206-3 / 13141</t>
  </si>
  <si>
    <t>check 0 for 
[14825/14511] /16147/ 
12309-6/ 13206-3</t>
  </si>
  <si>
    <r>
      <t xml:space="preserve">Heat pump with backup </t>
    </r>
    <r>
      <rPr>
        <u/>
        <sz val="12"/>
        <rFont val="Calibri"/>
        <family val="2"/>
      </rPr>
      <t>(not accounting for Exhaust adjustment)</t>
    </r>
  </si>
  <si>
    <t>Heat Pump</t>
  </si>
  <si>
    <t>Heat pump # 1</t>
  </si>
  <si>
    <t>Heat pump # 2</t>
  </si>
  <si>
    <t>Heat pump # 3</t>
  </si>
  <si>
    <t xml:space="preserve">% main space heat provided by each heat pump  based on system design </t>
  </si>
  <si>
    <t xml:space="preserve">% main water heat provided by each heat pump  based on system design </t>
  </si>
  <si>
    <t>Is heat pump source preconditioned?</t>
  </si>
  <si>
    <t xml:space="preserve">Heat Pump # </t>
  </si>
  <si>
    <t>If heat pump source is preheated by another heat source other than exhaust air or ambient energy  (e.g. a heat pump or boiler etc)</t>
  </si>
  <si>
    <t>Any group heating heat pumps present?</t>
  </si>
  <si>
    <t>Any</t>
  </si>
  <si>
    <t>Source proportions of space heat from plant design details or operational records</t>
  </si>
  <si>
    <t>Source proportions of water heat from plant design details or operational records</t>
  </si>
  <si>
    <t>DEAP Entries Captured Data</t>
  </si>
  <si>
    <t>THIS HEAT PUMP</t>
  </si>
  <si>
    <t>Required Space Heating Capacity at design conditions.</t>
  </si>
  <si>
    <t>Proportion of main space heating provided by this heat pump</t>
  </si>
  <si>
    <t>m2</t>
  </si>
  <si>
    <t>Is this Heat Pump part of a Group Heating Scheme</t>
  </si>
  <si>
    <t xml:space="preserve">For each of heat pumps 1, 2, 3. Enter Manufacturer, model, test standard, test data of heat pumps, run hours and design flow temperature of heat pumps. </t>
  </si>
  <si>
    <t>For each of heat pumps 1, 2, 3. None</t>
  </si>
  <si>
    <t>Heating Calc 1/2/3</t>
  </si>
  <si>
    <t>HP 1/2/3</t>
  </si>
  <si>
    <t>DHW Calc 1/2/3</t>
  </si>
  <si>
    <t xml:space="preserve">For each of heat pumps 1, 2, 3. No user entries, but useful to see which standards apply to which heat pump types. </t>
  </si>
  <si>
    <t>Space and water standards ID tabs 1/2/3</t>
  </si>
  <si>
    <t>Space heating renewables adjustment</t>
  </si>
  <si>
    <t>Water heating renewables adjustment</t>
  </si>
  <si>
    <t>% of space heating Provided by Heat Pump</t>
  </si>
  <si>
    <t>% space heating provided by heat pump (&lt;100% means backup is needed)</t>
  </si>
  <si>
    <t>Efficiency adjustment factor space heating</t>
  </si>
  <si>
    <t>Efficiency adjustment factor water heating</t>
  </si>
  <si>
    <t>Units</t>
  </si>
  <si>
    <t>Water heating test standard</t>
  </si>
  <si>
    <t>Maximum allowable % for water heating</t>
  </si>
  <si>
    <t>Maximum allowable % for water heating error?</t>
  </si>
  <si>
    <t>Backup used for space heating?</t>
  </si>
  <si>
    <t>Backup used for water heating?</t>
  </si>
  <si>
    <t xml:space="preserve">Additional errors and warnings: </t>
  </si>
  <si>
    <t>Results from each of 3 HPs &amp; additional calculations</t>
  </si>
  <si>
    <t>As per guidance document, only one heat pump may use test standard I.S. EN 14825/14511 for water heating.</t>
  </si>
  <si>
    <t>[kWh]</t>
  </si>
  <si>
    <t>Total renewable contribution adjustment</t>
  </si>
  <si>
    <t>Output from Main Water Heater</t>
  </si>
  <si>
    <t>HP number</t>
  </si>
  <si>
    <t>Tab</t>
  </si>
  <si>
    <t>Heat pump 1 formula in text</t>
  </si>
  <si>
    <t>Error found in HP calculation?</t>
  </si>
  <si>
    <t>Cell (everything to the right of the tab name)</t>
  </si>
  <si>
    <t>HP tab</t>
  </si>
  <si>
    <t>This HP</t>
  </si>
  <si>
    <t>Heat pump #1</t>
  </si>
  <si>
    <t>Heat pump #2</t>
  </si>
  <si>
    <t>Heat pump #3</t>
  </si>
  <si>
    <t>Heat pump 1 source cell name as text</t>
  </si>
  <si>
    <t>Sourced from DEAP:Ventilation tab (or Vent tab in DEAP workbook) and divided between up to three Exhaust Air systems</t>
  </si>
  <si>
    <t>placeholder</t>
  </si>
  <si>
    <t>A</t>
  </si>
  <si>
    <t>B</t>
  </si>
  <si>
    <t>C</t>
  </si>
  <si>
    <t>D</t>
  </si>
  <si>
    <t>E</t>
  </si>
  <si>
    <t>HP identifier:</t>
  </si>
  <si>
    <t>Bin</t>
  </si>
  <si>
    <t>Bin -&gt;</t>
  </si>
  <si>
    <t>COP and heating capacity</t>
  </si>
  <si>
    <t>Heatpump replication autoselect</t>
  </si>
  <si>
    <t xml:space="preserve">&lt;-Applicable values -&gt; </t>
  </si>
  <si>
    <t>Error for water heating using low temp HP?</t>
  </si>
  <si>
    <t>Calculated environmental energy in this dwelling</t>
  </si>
  <si>
    <t>Efficiency of Space Heat Pump (not incl backup)</t>
  </si>
  <si>
    <t>Efficiency of Water Heat Pump (not incl backup)</t>
  </si>
  <si>
    <t>Hot water</t>
  </si>
  <si>
    <t>Adjustment due to backup</t>
  </si>
  <si>
    <t>Adjustment due to exhaust air</t>
  </si>
  <si>
    <t>Adjustment due to preconditioned heat source</t>
  </si>
  <si>
    <t>Test error text</t>
  </si>
  <si>
    <t>Dwelling error text</t>
  </si>
  <si>
    <t>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t>
  </si>
  <si>
    <t>WARNING: As the test storage Volume does not meet requirements in Ecodesign Directive, the assessor must contact the manufacturer to advise that test volume is not appropriate for the declared load profile and request revised test results.</t>
  </si>
  <si>
    <t>Space standards ID</t>
  </si>
  <si>
    <t>Valid space heat pump type selected text</t>
  </si>
  <si>
    <t>Heat pump type:</t>
  </si>
  <si>
    <t>Electric or GAHP:</t>
  </si>
  <si>
    <t>Low temp:</t>
  </si>
  <si>
    <t>Ecodesign based stds:</t>
  </si>
  <si>
    <t>Valid standard chosen?</t>
  </si>
  <si>
    <t>Water standards ID</t>
  </si>
  <si>
    <t>Heating calc</t>
  </si>
  <si>
    <t>Percentage of space heat from secondary system</t>
  </si>
  <si>
    <t>For Group Heating: Is charging based on heat consumed?</t>
  </si>
  <si>
    <t>% water heating provided by heat pump (&lt;100% means backup is needed)</t>
  </si>
  <si>
    <t>Is heat pump electric or gas (GAHP) for space heating</t>
  </si>
  <si>
    <t>Is heat pump electric or gas (GAHP) for water heating</t>
  </si>
  <si>
    <t xml:space="preserve">Is there use of both GAHP and Elec? </t>
  </si>
  <si>
    <t xml:space="preserve">As per guidance document, use all electric heat pumps or all GAHP. </t>
  </si>
  <si>
    <t>Date: August 2020</t>
  </si>
  <si>
    <t>Enter administrative details of the project</t>
  </si>
  <si>
    <t xml:space="preserve">Heat pump calculation results to be used in DEAP 
Adjusted renewable energy ratio. </t>
  </si>
  <si>
    <t>Main space heating total</t>
  </si>
  <si>
    <t>Total main heating</t>
  </si>
  <si>
    <t>Total main space heating / total main heating</t>
  </si>
  <si>
    <t>Total main water heating / total main heating</t>
  </si>
  <si>
    <t>Enter in DEAP: Space heating: heat source as proportion of heat alongside heat pump space heating efficiency (or DEAP Workbook ER1/2 tab space heating proportion of heat from heat pump).  Total proportion of heat MUST be 100% in DEAP.  For group heating system, always enter under "heating system 1".</t>
  </si>
  <si>
    <t>Enter in DEAP: Space heating: heat source as proportion of heat alongside heat pump water heating efficiency (or DEAP Workbook ER1/2 tab water heating proportion of heat from heat pump).  Total proportion of heat MUST be 100% in DEAP.  For group heating system, always enter under "heating system 2".</t>
  </si>
  <si>
    <t>Adjustment for group water heating</t>
  </si>
  <si>
    <t>Using only one HP to heat water and uses  14825/14511?</t>
  </si>
  <si>
    <t xml:space="preserve">100% of main water heating by HPs? </t>
  </si>
  <si>
    <t>RESULTS: Part L compliance Renewable Energy Ratio (RER) Adjustment.  Applies to New final and New provisional assessments only.
BER Assessor must advise the client of any adjustment to RER, and attach details of adjusted RER to Part L compliance report. 
This section is completed AFTER the above heat pump calculation results are entered in DEAP software.</t>
  </si>
  <si>
    <t>Automatically calculated by heat pump calculation tool. Used to adjust renewable energy ratio results in DEAP software to reflect impact of backup / exhaust air / preheat / group heating</t>
  </si>
  <si>
    <t>Adjusted Renewable Energy Ratio to be attached to compliance report</t>
  </si>
  <si>
    <t>Advise client of this adjusted RER and attach adjusted RER calculation to Part L compliance report</t>
  </si>
  <si>
    <t>Unadjusted RER</t>
  </si>
  <si>
    <t>Adjusted renewable primary energy</t>
  </si>
  <si>
    <t>[kWh/kWh]</t>
  </si>
  <si>
    <t>Efficiency adjustment factor for space heating and water heating</t>
  </si>
  <si>
    <t>Always set to one when using this heat pump calculator</t>
  </si>
  <si>
    <t>Ecodesign based water heating tests to 
EN16147  (or EN13203-6 for GAHP)*</t>
  </si>
  <si>
    <t>*May include I.S. EN 14825 / 14511 test data as detailed in guidace document</t>
  </si>
  <si>
    <t>Use heat pump with EN14825/14511 based test data as sole means of meeting main hot water demand prohibited.</t>
  </si>
  <si>
    <t>Published version</t>
  </si>
  <si>
    <t>Enter in DEAP: Space heating: heat source as heating system efficiency (or DEAP Workbook ER1/2). For group heating system, always enter under "heating system 1".</t>
  </si>
  <si>
    <t>Enter in DEAP: Space heating: heat source as fuel (or DEAP Workbook ER1/2 tab). Gas fired heat pumps treated as natural gas / LPG boilers (with efficiency as derived by this calculation).  For group heating system, always enter under "heating system 1".</t>
  </si>
  <si>
    <t>Enter in DEAP: Water heating: heat source as fuel (or DEAP Workbook ER1/2 tab). Gas fired heat pumps treated as natural gas / LPG boilers (with efficiency as derived by this calculation).  For group heating system, always enter under "heating system 2".</t>
  </si>
  <si>
    <t>Enter in DEAP: Water heating: heat source as heating system efficiency (or DEAP Workbook ER1/2). For group heating system, always enter under "heating system 2".</t>
  </si>
  <si>
    <t>If this error is shown, the heat pump test temperatures indicate that the proportion of water heating set by the user is too high</t>
  </si>
  <si>
    <t>If this warning is shown, the system designer should review the proportions of heat from the heat pump and selection of heat pump if possible (e.g. maybe larger capacity is needed) to reduce the level of heating met by backup heater</t>
  </si>
  <si>
    <r>
      <rPr>
        <b/>
        <u/>
        <sz val="10"/>
        <color theme="4" tint="-0.249977111117893"/>
        <rFont val="Arial"/>
        <family val="2"/>
      </rPr>
      <t>Instructions for use:</t>
    </r>
    <r>
      <rPr>
        <sz val="10"/>
        <color theme="4" tint="-0.249977111117893"/>
        <rFont val="Arial"/>
        <family val="2"/>
      </rPr>
      <t xml:space="preserve">
1) Complete the DEAP assessment as far as the heat sources entries in DEAP software/workbook. This includes dimensions, fabric, windows, water heating (not including hot water heat source) storage/controls/distribution and space heating controls. 
2) Complete the heat pump designer/installer form
3) Complete the yellow cells in the "DEAPEntries" tab
4) Complete the yellow cells in the HP tab
5) Transfer results to DEAP software as per guidance document
6) Calculate adjusted renewable energy ratio for NEW dwellings (see guidance document)
NB Guidance document details cases where this heat pump should and should not be used. </t>
    </r>
  </si>
  <si>
    <t>Remove bracket</t>
  </si>
  <si>
    <r>
      <t xml:space="preserve">Inputs from DEAP </t>
    </r>
    <r>
      <rPr>
        <b/>
        <sz val="11"/>
        <color indexed="21"/>
        <rFont val="Symbol"/>
        <family val="1"/>
        <charset val="2"/>
      </rPr>
      <t>¯</t>
    </r>
    <r>
      <rPr>
        <b/>
        <sz val="11"/>
        <color indexed="21"/>
        <rFont val="Calibri"/>
        <family val="2"/>
      </rPr>
      <t xml:space="preserve">
User to populate yellow cells below and in HP 1/2/3 tabs.</t>
    </r>
  </si>
  <si>
    <r>
      <t xml:space="preserve">RESULTS: Outputs for use in DEAP. </t>
    </r>
    <r>
      <rPr>
        <b/>
        <sz val="11"/>
        <color indexed="21"/>
        <rFont val="Symbol"/>
        <family val="1"/>
        <charset val="2"/>
      </rPr>
      <t>¯</t>
    </r>
    <r>
      <rPr>
        <b/>
        <sz val="11"/>
        <color indexed="21"/>
        <rFont val="Calibri"/>
        <family val="2"/>
      </rPr>
      <t xml:space="preserve">
User must manually transfer these to DEAP software. </t>
    </r>
  </si>
  <si>
    <t>Total renewables primary energy from DEAP software</t>
  </si>
  <si>
    <t>Total Primary Energy from DEAP software</t>
  </si>
  <si>
    <t>Sourced from DEAP: View assessment: Part L (or RER tab in DEAP workbook)</t>
  </si>
  <si>
    <t>Adjusted total primary energy</t>
  </si>
  <si>
    <t>Rev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</si>
</sst>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0.0"/>
    <numFmt numFmtId="165" formatCode="0.000"/>
    <numFmt numFmtId="166" formatCode="0.00000"/>
    <numFmt numFmtId="167" formatCode="0.0%"/>
    <numFmt numFmtId="168" formatCode="0.0000000000"/>
    <numFmt numFmtId="169" formatCode="0.000%"/>
    <numFmt numFmtId="170" formatCode="_-* #,##0.0_-;\-* #,##0.0_-;_-* &quot;-&quot;??_-;_-@_-"/>
    <numFmt numFmtId="171" formatCode="0.0000"/>
    <numFmt numFmtId="172" formatCode="_-* #,##0.000_-;\-* #,##0.000_-;_-* &quot;-&quot;??_-;_-@_-"/>
    <numFmt numFmtId="173" formatCode="_-* #,##0_-;\-* #,##0_-;_-* &quot;-&quot;??_-;_-@_-"/>
  </numFmts>
  <fonts count="10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b/>
      <i/>
      <sz val="10"/>
      <name val="Arial"/>
      <family val="2"/>
    </font>
    <font>
      <sz val="8"/>
      <name val="Arial"/>
      <family val="2"/>
    </font>
    <font>
      <b/>
      <sz val="14"/>
      <color indexed="21"/>
      <name val="Myriad Pro"/>
      <family val="2"/>
    </font>
    <font>
      <vertAlign val="superscript"/>
      <sz val="10"/>
      <name val="Arial"/>
      <family val="2"/>
    </font>
    <font>
      <b/>
      <u/>
      <sz val="10"/>
      <name val="Myriad Pro"/>
      <family val="2"/>
    </font>
    <font>
      <sz val="10"/>
      <name val="Myriad Pro"/>
      <family val="2"/>
    </font>
    <font>
      <sz val="9"/>
      <name val="Arial"/>
      <family val="2"/>
    </font>
    <font>
      <b/>
      <sz val="12"/>
      <name val="Myriad Pro"/>
      <family val="2"/>
    </font>
    <font>
      <u/>
      <sz val="10"/>
      <name val="Myriad Pro"/>
      <family val="2"/>
    </font>
    <font>
      <sz val="10"/>
      <color theme="4" tint="-0.249977111117893"/>
      <name val="Arial"/>
      <family val="2"/>
    </font>
    <font>
      <b/>
      <sz val="12"/>
      <color theme="4" tint="-0.249977111117893"/>
      <name val="Myriad Pro"/>
      <family val="2"/>
    </font>
    <font>
      <sz val="11"/>
      <color theme="4" tint="-0.249977111117893"/>
      <name val="Arial"/>
      <family val="2"/>
    </font>
    <font>
      <sz val="12"/>
      <color theme="4" tint="-0.249977111117893"/>
      <name val="Arial"/>
      <family val="2"/>
    </font>
    <font>
      <b/>
      <sz val="14"/>
      <color theme="4" tint="-0.249977111117893"/>
      <name val="Myriad Pro"/>
      <family val="2"/>
    </font>
    <font>
      <sz val="10"/>
      <color rgb="FFFF0000"/>
      <name val="Arial"/>
      <family val="2"/>
    </font>
    <font>
      <sz val="10"/>
      <name val="Arial"/>
      <family val="2"/>
    </font>
    <font>
      <sz val="12"/>
      <name val="Calibri"/>
      <family val="2"/>
    </font>
    <font>
      <sz val="12"/>
      <color indexed="8"/>
      <name val="Calibri"/>
      <family val="2"/>
    </font>
    <font>
      <b/>
      <sz val="12"/>
      <name val="Calibri"/>
      <family val="2"/>
    </font>
    <font>
      <b/>
      <sz val="12"/>
      <color indexed="8"/>
      <name val="Calibri"/>
      <family val="2"/>
    </font>
    <font>
      <sz val="12"/>
      <color indexed="10"/>
      <name val="Calibri"/>
      <family val="2"/>
    </font>
    <font>
      <vertAlign val="superscript"/>
      <sz val="12"/>
      <name val="Calibri"/>
      <family val="2"/>
    </font>
    <font>
      <b/>
      <sz val="12"/>
      <color indexed="10"/>
      <name val="Calibri"/>
      <family val="2"/>
    </font>
    <font>
      <b/>
      <vertAlign val="superscript"/>
      <sz val="12"/>
      <color indexed="8"/>
      <name val="Calibri"/>
      <family val="2"/>
    </font>
    <font>
      <sz val="11"/>
      <color indexed="8"/>
      <name val="Calibri"/>
      <family val="2"/>
    </font>
    <font>
      <sz val="10.8"/>
      <name val="Calibri"/>
      <family val="2"/>
    </font>
    <font>
      <b/>
      <sz val="16"/>
      <color indexed="9"/>
      <name val="Calibri"/>
      <family val="2"/>
    </font>
    <font>
      <sz val="10"/>
      <color indexed="8"/>
      <name val="Arial"/>
      <family val="2"/>
    </font>
    <font>
      <b/>
      <sz val="14"/>
      <name val="Arial"/>
      <family val="2"/>
    </font>
    <font>
      <sz val="10"/>
      <color indexed="10"/>
      <name val="Arial"/>
      <family val="2"/>
    </font>
    <font>
      <b/>
      <sz val="11"/>
      <color indexed="8"/>
      <name val="Calibri"/>
      <family val="2"/>
    </font>
    <font>
      <sz val="12"/>
      <color rgb="FFFF0000"/>
      <name val="Calibri"/>
      <family val="2"/>
    </font>
    <font>
      <sz val="9"/>
      <color rgb="FFFF0000"/>
      <name val="Arial"/>
      <family val="2"/>
    </font>
    <font>
      <b/>
      <sz val="10"/>
      <color theme="4" tint="-0.249977111117893"/>
      <name val="Myriad Pro"/>
      <family val="2"/>
    </font>
    <font>
      <sz val="10"/>
      <color theme="0"/>
      <name val="Arial"/>
      <family val="2"/>
    </font>
    <font>
      <b/>
      <sz val="14"/>
      <color indexed="56"/>
      <name val="Calibri"/>
      <family val="2"/>
    </font>
    <font>
      <b/>
      <sz val="16"/>
      <color theme="4" tint="-0.249977111117893"/>
      <name val="Myriad Pro"/>
      <family val="2"/>
    </font>
    <font>
      <sz val="8"/>
      <name val="Calibri"/>
      <family val="2"/>
    </font>
    <font>
      <b/>
      <sz val="11"/>
      <color rgb="FFFF0000"/>
      <name val="Calibri"/>
      <family val="2"/>
    </font>
    <font>
      <b/>
      <u/>
      <sz val="10"/>
      <color theme="4" tint="-0.249977111117893"/>
      <name val="Arial"/>
      <family val="2"/>
    </font>
    <font>
      <sz val="12"/>
      <color theme="0" tint="-0.14999847407452621"/>
      <name val="Calibri"/>
      <family val="2"/>
    </font>
    <font>
      <sz val="12"/>
      <name val="Calibri"/>
      <family val="2"/>
      <scheme val="minor"/>
    </font>
    <font>
      <b/>
      <sz val="18"/>
      <color indexed="8"/>
      <name val="Calibri"/>
      <family val="2"/>
    </font>
    <font>
      <b/>
      <sz val="12"/>
      <name val="Symbol"/>
      <family val="1"/>
      <charset val="2"/>
    </font>
    <font>
      <b/>
      <sz val="11"/>
      <color rgb="FFFF0000"/>
      <name val="Myriad Pro"/>
      <family val="2"/>
    </font>
    <font>
      <sz val="10"/>
      <color theme="0" tint="-0.14999847407452621"/>
      <name val="Calibri"/>
      <family val="2"/>
    </font>
    <font>
      <sz val="11"/>
      <name val="Calibri"/>
      <family val="2"/>
    </font>
    <font>
      <sz val="9"/>
      <color theme="0" tint="-0.249977111117893"/>
      <name val="Calibri"/>
      <family val="2"/>
    </font>
    <font>
      <sz val="10"/>
      <color theme="0" tint="-0.249977111117893"/>
      <name val="Arial"/>
      <family val="2"/>
    </font>
    <font>
      <sz val="10"/>
      <name val="Calibri"/>
      <family val="2"/>
    </font>
    <font>
      <sz val="10"/>
      <color rgb="FFFF0000"/>
      <name val="Calibri"/>
      <family val="2"/>
    </font>
    <font>
      <b/>
      <sz val="10"/>
      <name val="Calibri"/>
      <family val="2"/>
    </font>
    <font>
      <b/>
      <sz val="11"/>
      <color indexed="21"/>
      <name val="Calibri"/>
      <family val="2"/>
    </font>
    <font>
      <b/>
      <sz val="11"/>
      <color indexed="56"/>
      <name val="Calibri"/>
      <family val="2"/>
    </font>
    <font>
      <vertAlign val="superscript"/>
      <sz val="11"/>
      <name val="Calibri"/>
      <family val="2"/>
    </font>
    <font>
      <sz val="11"/>
      <color rgb="FFFF0000"/>
      <name val="Calibri"/>
      <family val="2"/>
    </font>
    <font>
      <sz val="11"/>
      <name val="Arial"/>
      <family val="2"/>
    </font>
    <font>
      <b/>
      <sz val="14"/>
      <name val="Calibri"/>
      <family val="2"/>
    </font>
    <font>
      <sz val="12"/>
      <color theme="0" tint="-0.249977111117893"/>
      <name val="Calibri"/>
      <family val="2"/>
    </font>
    <font>
      <sz val="10"/>
      <color theme="0" tint="-0.249977111117893"/>
      <name val="Calibri"/>
      <family val="2"/>
    </font>
    <font>
      <b/>
      <sz val="10"/>
      <color theme="0" tint="-0.249977111117893"/>
      <name val="Calibri"/>
      <family val="2"/>
    </font>
    <font>
      <b/>
      <u/>
      <sz val="12"/>
      <name val="Calibri"/>
      <family val="2"/>
    </font>
    <font>
      <b/>
      <sz val="11"/>
      <color theme="1"/>
      <name val="Calibri"/>
      <family val="2"/>
      <scheme val="minor"/>
    </font>
    <font>
      <b/>
      <sz val="16"/>
      <color theme="1"/>
      <name val="Calibri"/>
      <family val="2"/>
      <scheme val="minor"/>
    </font>
    <font>
      <b/>
      <sz val="12"/>
      <color theme="0" tint="-0.34998626667073579"/>
      <name val="Calibri"/>
      <family val="2"/>
      <scheme val="minor"/>
    </font>
    <font>
      <b/>
      <sz val="8"/>
      <color theme="1"/>
      <name val="Calibri"/>
      <family val="2"/>
      <scheme val="minor"/>
    </font>
    <font>
      <sz val="8"/>
      <color theme="1"/>
      <name val="Calibri"/>
      <family val="2"/>
      <scheme val="minor"/>
    </font>
    <font>
      <sz val="9"/>
      <color indexed="81"/>
      <name val="Tahoma"/>
      <family val="2"/>
    </font>
    <font>
      <b/>
      <sz val="12"/>
      <color theme="0" tint="-0.249977111117893"/>
      <name val="Calibri"/>
      <family val="2"/>
    </font>
    <font>
      <b/>
      <sz val="11"/>
      <color indexed="21"/>
      <name val="Symbol"/>
      <family val="1"/>
      <charset val="2"/>
    </font>
    <font>
      <b/>
      <sz val="16"/>
      <name val="Calibri"/>
      <family val="2"/>
      <scheme val="minor"/>
    </font>
    <font>
      <b/>
      <sz val="14"/>
      <color rgb="FFFF0000"/>
      <name val="Calibri"/>
      <family val="2"/>
    </font>
    <font>
      <b/>
      <sz val="12"/>
      <color rgb="FFFF0000"/>
      <name val="Calibri"/>
      <family val="2"/>
    </font>
    <font>
      <b/>
      <sz val="9"/>
      <color indexed="81"/>
      <name val="Tahoma"/>
      <family val="2"/>
    </font>
    <font>
      <b/>
      <sz val="6"/>
      <color theme="1"/>
      <name val="Calibri"/>
      <family val="2"/>
      <scheme val="minor"/>
    </font>
    <font>
      <sz val="6"/>
      <color theme="1"/>
      <name val="Calibri"/>
      <family val="2"/>
      <scheme val="minor"/>
    </font>
    <font>
      <u/>
      <sz val="12"/>
      <name val="Calibri"/>
      <family val="2"/>
    </font>
    <font>
      <sz val="12"/>
      <color theme="0" tint="-0.34998626667073579"/>
      <name val="Calibri"/>
      <family val="2"/>
    </font>
    <font>
      <sz val="9"/>
      <color theme="0" tint="-0.14999847407452621"/>
      <name val="Calibri"/>
      <family val="2"/>
    </font>
    <font>
      <b/>
      <sz val="11"/>
      <name val="Calibri"/>
      <family val="2"/>
    </font>
    <font>
      <b/>
      <sz val="14"/>
      <name val="Myriad Pro"/>
      <family val="2"/>
    </font>
    <font>
      <sz val="11"/>
      <color theme="0" tint="-0.34998626667073579"/>
      <name val="Arial"/>
      <family val="2"/>
    </font>
    <font>
      <sz val="10"/>
      <color theme="0" tint="-0.34998626667073579"/>
      <name val="Arial"/>
      <family val="2"/>
    </font>
    <font>
      <b/>
      <u/>
      <sz val="10"/>
      <name val="Arial"/>
      <family val="2"/>
    </font>
    <font>
      <sz val="9"/>
      <name val="Calibri"/>
      <family val="2"/>
    </font>
    <font>
      <b/>
      <u/>
      <sz val="9"/>
      <name val="Arial"/>
      <family val="2"/>
    </font>
    <font>
      <b/>
      <sz val="9"/>
      <name val="Arial"/>
      <family val="2"/>
    </font>
    <font>
      <b/>
      <sz val="9"/>
      <name val="Calibri"/>
      <family val="2"/>
    </font>
    <font>
      <sz val="10"/>
      <color theme="1"/>
      <name val="Calibri"/>
      <family val="2"/>
      <scheme val="minor"/>
    </font>
    <font>
      <b/>
      <sz val="8"/>
      <name val="Calibri"/>
      <family val="2"/>
    </font>
    <font>
      <i/>
      <sz val="11"/>
      <color theme="0" tint="-0.34998626667073579"/>
      <name val="Arial"/>
      <family val="2"/>
    </font>
    <font>
      <i/>
      <sz val="10"/>
      <color theme="0" tint="-0.34998626667073579"/>
      <name val="Arial"/>
      <family val="2"/>
    </font>
    <font>
      <sz val="11"/>
      <color theme="0" tint="-0.34998626667073579"/>
      <name val="Calibri"/>
      <family val="2"/>
    </font>
    <font>
      <b/>
      <sz val="14"/>
      <color theme="0"/>
      <name val="Calibri"/>
      <family val="2"/>
    </font>
    <font>
      <b/>
      <u/>
      <sz val="11"/>
      <name val="Calibri"/>
      <family val="2"/>
    </font>
    <font>
      <i/>
      <sz val="12"/>
      <name val="Calibri"/>
      <family val="2"/>
    </font>
  </fonts>
  <fills count="26">
    <fill>
      <patternFill patternType="none"/>
    </fill>
    <fill>
      <patternFill patternType="gray125"/>
    </fill>
    <fill>
      <patternFill patternType="solid">
        <fgColor indexed="13"/>
        <bgColor indexed="64"/>
      </patternFill>
    </fill>
    <fill>
      <patternFill patternType="solid">
        <fgColor indexed="15"/>
        <bgColor indexed="64"/>
      </patternFill>
    </fill>
    <fill>
      <patternFill patternType="solid">
        <fgColor indexed="41"/>
        <bgColor indexed="64"/>
      </patternFill>
    </fill>
    <fill>
      <patternFill patternType="solid">
        <fgColor indexed="43"/>
        <bgColor indexed="64"/>
      </patternFill>
    </fill>
    <fill>
      <patternFill patternType="solid">
        <fgColor indexed="22"/>
        <bgColor indexed="64"/>
      </patternFill>
    </fill>
    <fill>
      <patternFill patternType="solid">
        <fgColor indexed="42"/>
        <bgColor indexed="64"/>
      </patternFill>
    </fill>
    <fill>
      <patternFill patternType="solid">
        <fgColor rgb="FFFFFF99"/>
        <bgColor indexed="64"/>
      </patternFill>
    </fill>
    <fill>
      <patternFill patternType="solid">
        <fgColor theme="0"/>
        <bgColor indexed="64"/>
      </patternFill>
    </fill>
    <fill>
      <patternFill patternType="solid">
        <fgColor rgb="FFCCFFFF"/>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rgb="FFCCFF99"/>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9" tint="0.59999389629810485"/>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medium">
        <color indexed="18"/>
      </bottom>
      <diagonal/>
    </border>
    <border>
      <left/>
      <right/>
      <top/>
      <bottom style="medium">
        <color theme="3"/>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medium">
        <color indexed="64"/>
      </top>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theme="0" tint="-0.24994659260841701"/>
      </left>
      <right style="thin">
        <color theme="0" tint="-0.24994659260841701"/>
      </right>
      <top style="thin">
        <color indexed="64"/>
      </top>
      <bottom style="thin">
        <color theme="0" tint="-0.24994659260841701"/>
      </bottom>
      <diagonal/>
    </border>
    <border>
      <left/>
      <right style="thin">
        <color indexed="64"/>
      </right>
      <top style="thin">
        <color indexed="64"/>
      </top>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style="thin">
        <color indexed="64"/>
      </right>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style="thin">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thin">
        <color indexed="64"/>
      </left>
      <right style="thin">
        <color indexed="64"/>
      </right>
      <top style="medium">
        <color indexed="64"/>
      </top>
      <bottom style="medium">
        <color indexed="64"/>
      </bottom>
      <diagonal/>
    </border>
  </borders>
  <cellStyleXfs count="11">
    <xf numFmtId="0" fontId="0" fillId="0" borderId="0"/>
    <xf numFmtId="2" fontId="5" fillId="2" borderId="1">
      <alignment horizontal="right"/>
    </xf>
    <xf numFmtId="0" fontId="5" fillId="3" borderId="1"/>
    <xf numFmtId="0" fontId="6" fillId="0" borderId="0"/>
    <xf numFmtId="9" fontId="5" fillId="0" borderId="0" applyFont="0" applyFill="0" applyBorder="0" applyAlignment="0" applyProtection="0"/>
    <xf numFmtId="43" fontId="23" fillId="0" borderId="0" applyFont="0" applyFill="0" applyBorder="0" applyAlignment="0" applyProtection="0"/>
    <xf numFmtId="0" fontId="25" fillId="0" borderId="0"/>
    <xf numFmtId="0" fontId="5" fillId="0" borderId="0"/>
    <xf numFmtId="0" fontId="5" fillId="0" borderId="0"/>
    <xf numFmtId="0" fontId="32" fillId="0" borderId="0"/>
    <xf numFmtId="0" fontId="4" fillId="0" borderId="0"/>
  </cellStyleXfs>
  <cellXfs count="798">
    <xf numFmtId="0" fontId="0" fillId="0" borderId="0" xfId="0"/>
    <xf numFmtId="0" fontId="7" fillId="0" borderId="0" xfId="0" applyFont="1"/>
    <xf numFmtId="1" fontId="0" fillId="0" borderId="0" xfId="0" applyNumberFormat="1"/>
    <xf numFmtId="0" fontId="0" fillId="0" borderId="0" xfId="0" applyFill="1"/>
    <xf numFmtId="2" fontId="0" fillId="0" borderId="0" xfId="0" applyNumberFormat="1"/>
    <xf numFmtId="0" fontId="0" fillId="0" borderId="0" xfId="0" applyProtection="1"/>
    <xf numFmtId="0" fontId="0" fillId="0" borderId="0" xfId="0" applyFill="1" applyProtection="1"/>
    <xf numFmtId="0" fontId="0" fillId="0" borderId="0" xfId="0" applyBorder="1" applyProtection="1"/>
    <xf numFmtId="0" fontId="10" fillId="6" borderId="0" xfId="0" applyFont="1" applyFill="1" applyAlignment="1" applyProtection="1">
      <alignment horizontal="left"/>
    </xf>
    <xf numFmtId="0" fontId="0" fillId="6" borderId="0" xfId="0" applyFill="1" applyProtection="1"/>
    <xf numFmtId="0" fontId="7" fillId="0" borderId="0" xfId="3" applyFont="1" applyProtection="1"/>
    <xf numFmtId="0" fontId="13" fillId="0" borderId="0" xfId="0" applyFont="1" applyFill="1" applyBorder="1" applyAlignment="1" applyProtection="1">
      <alignment horizontal="left" vertical="top"/>
    </xf>
    <xf numFmtId="0" fontId="15"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3" fillId="4" borderId="0" xfId="0" applyFont="1" applyFill="1" applyBorder="1" applyAlignment="1" applyProtection="1">
      <alignment horizontal="left" vertical="top"/>
    </xf>
    <xf numFmtId="0" fontId="13" fillId="7" borderId="0" xfId="0" applyFont="1" applyFill="1" applyBorder="1" applyAlignment="1" applyProtection="1">
      <alignment horizontal="left" vertical="top"/>
    </xf>
    <xf numFmtId="0" fontId="0" fillId="0" borderId="0" xfId="0" applyFill="1" applyAlignment="1" applyProtection="1">
      <alignment horizontal="center"/>
    </xf>
    <xf numFmtId="2" fontId="0" fillId="0" borderId="0" xfId="0" applyNumberFormat="1" applyFill="1" applyBorder="1" applyAlignment="1" applyProtection="1">
      <alignment horizontal="center"/>
    </xf>
    <xf numFmtId="1" fontId="0" fillId="0" borderId="0" xfId="0" applyNumberFormat="1" applyFill="1" applyBorder="1" applyAlignment="1" applyProtection="1">
      <alignment horizontal="center"/>
    </xf>
    <xf numFmtId="0" fontId="0" fillId="0" borderId="0" xfId="0" applyFill="1" applyBorder="1" applyAlignment="1" applyProtection="1">
      <alignment horizontal="center"/>
    </xf>
    <xf numFmtId="0" fontId="13" fillId="5" borderId="0" xfId="0" applyFont="1" applyFill="1" applyBorder="1" applyAlignment="1" applyProtection="1">
      <alignment horizontal="left" vertical="top"/>
      <protection locked="0"/>
    </xf>
    <xf numFmtId="0" fontId="12" fillId="0" borderId="1" xfId="0" applyFont="1" applyBorder="1" applyAlignment="1" applyProtection="1">
      <alignment horizontal="center" vertical="top" wrapText="1"/>
    </xf>
    <xf numFmtId="0" fontId="13" fillId="0" borderId="1" xfId="0" applyFont="1" applyBorder="1" applyAlignment="1" applyProtection="1">
      <alignment horizontal="center" vertical="top" wrapText="1"/>
    </xf>
    <xf numFmtId="0" fontId="17" fillId="0" borderId="0" xfId="0" applyFont="1" applyProtection="1"/>
    <xf numFmtId="0" fontId="18" fillId="0" borderId="0" xfId="0" applyFont="1" applyAlignment="1" applyProtection="1">
      <alignment horizontal="center"/>
    </xf>
    <xf numFmtId="0" fontId="17" fillId="0" borderId="0" xfId="0" applyFont="1" applyAlignment="1" applyProtection="1"/>
    <xf numFmtId="0" fontId="19" fillId="0" borderId="0" xfId="0" applyFont="1" applyProtection="1"/>
    <xf numFmtId="0" fontId="20" fillId="0" borderId="0" xfId="0" applyFont="1" applyAlignment="1" applyProtection="1"/>
    <xf numFmtId="0" fontId="21" fillId="0" borderId="0" xfId="0" applyFont="1" applyAlignment="1" applyProtection="1">
      <alignment horizontal="center"/>
    </xf>
    <xf numFmtId="0" fontId="17" fillId="0" borderId="0" xfId="0" applyFont="1" applyBorder="1" applyProtection="1"/>
    <xf numFmtId="0" fontId="17" fillId="0" borderId="0" xfId="0" applyFont="1" applyFill="1" applyBorder="1" applyProtection="1"/>
    <xf numFmtId="0" fontId="17" fillId="0" borderId="0" xfId="3" applyFont="1" applyFill="1" applyBorder="1" applyProtection="1"/>
    <xf numFmtId="0" fontId="17" fillId="0" borderId="0" xfId="0" quotePrefix="1" applyFont="1" applyProtection="1"/>
    <xf numFmtId="165" fontId="0" fillId="0" borderId="0" xfId="0" applyNumberFormat="1" applyFill="1" applyBorder="1" applyAlignment="1" applyProtection="1">
      <alignment horizontal="center"/>
    </xf>
    <xf numFmtId="0" fontId="24" fillId="0" borderId="0" xfId="0" applyFont="1" applyProtection="1"/>
    <xf numFmtId="0" fontId="24" fillId="0" borderId="0" xfId="0" applyFont="1" applyFill="1" applyAlignment="1" applyProtection="1">
      <alignment wrapText="1"/>
    </xf>
    <xf numFmtId="0" fontId="25" fillId="0" borderId="1" xfId="6" applyFont="1" applyFill="1" applyBorder="1" applyAlignment="1" applyProtection="1">
      <alignment vertical="top" wrapText="1"/>
    </xf>
    <xf numFmtId="0" fontId="24" fillId="0" borderId="0" xfId="0" applyFont="1" applyAlignment="1" applyProtection="1">
      <alignment wrapText="1"/>
    </xf>
    <xf numFmtId="0" fontId="24" fillId="0" borderId="0" xfId="0" applyFont="1" applyFill="1" applyAlignment="1" applyProtection="1"/>
    <xf numFmtId="0" fontId="0" fillId="0" borderId="0" xfId="0"/>
    <xf numFmtId="0" fontId="24" fillId="0" borderId="0" xfId="0" applyFont="1" applyFill="1" applyAlignment="1" applyProtection="1">
      <alignment horizontal="left" wrapText="1"/>
    </xf>
    <xf numFmtId="0" fontId="24" fillId="0" borderId="0" xfId="8" applyFont="1" applyFill="1" applyAlignment="1" applyProtection="1">
      <alignment horizontal="left" wrapText="1"/>
      <protection locked="0"/>
    </xf>
    <xf numFmtId="0" fontId="25" fillId="6" borderId="8" xfId="6" applyFont="1" applyFill="1" applyBorder="1" applyAlignment="1" applyProtection="1">
      <alignment horizontal="left" wrapText="1"/>
    </xf>
    <xf numFmtId="0" fontId="24" fillId="0" borderId="0" xfId="8" applyFont="1" applyFill="1" applyProtection="1"/>
    <xf numFmtId="0" fontId="24" fillId="0" borderId="0" xfId="8" applyFont="1" applyFill="1" applyAlignment="1" applyProtection="1">
      <protection locked="0"/>
    </xf>
    <xf numFmtId="0" fontId="24" fillId="0" borderId="0" xfId="8" applyFont="1" applyFill="1" applyAlignment="1" applyProtection="1">
      <alignment wrapText="1"/>
      <protection locked="0"/>
    </xf>
    <xf numFmtId="0" fontId="25" fillId="0" borderId="37" xfId="6" applyFont="1" applyFill="1" applyBorder="1" applyAlignment="1" applyProtection="1">
      <alignment vertical="top" wrapText="1"/>
    </xf>
    <xf numFmtId="0" fontId="34" fillId="13" borderId="0" xfId="8" applyFont="1" applyFill="1" applyAlignment="1" applyProtection="1">
      <alignment horizontal="left" wrapText="1"/>
    </xf>
    <xf numFmtId="0" fontId="34" fillId="13" borderId="0" xfId="8" applyFont="1" applyFill="1" applyAlignment="1" applyProtection="1">
      <alignment wrapText="1"/>
    </xf>
    <xf numFmtId="0" fontId="24" fillId="9" borderId="0" xfId="8" applyFont="1" applyFill="1" applyProtection="1"/>
    <xf numFmtId="2" fontId="24" fillId="9" borderId="0" xfId="8" quotePrefix="1" applyNumberFormat="1" applyFont="1" applyFill="1" applyProtection="1"/>
    <xf numFmtId="0" fontId="7" fillId="9" borderId="0" xfId="8" applyFont="1" applyFill="1" applyAlignment="1" applyProtection="1">
      <alignment wrapText="1"/>
    </xf>
    <xf numFmtId="0" fontId="26" fillId="9" borderId="0" xfId="8" applyFont="1" applyFill="1" applyAlignment="1" applyProtection="1">
      <alignment wrapText="1"/>
    </xf>
    <xf numFmtId="0" fontId="24" fillId="0" borderId="0" xfId="0" applyFont="1" applyFill="1" applyProtection="1"/>
    <xf numFmtId="0" fontId="29" fillId="0" borderId="0" xfId="0" applyFont="1" applyProtection="1"/>
    <xf numFmtId="0" fontId="26" fillId="6" borderId="8" xfId="0" applyFont="1" applyFill="1" applyBorder="1" applyProtection="1"/>
    <xf numFmtId="0" fontId="24" fillId="0" borderId="0" xfId="0" applyFont="1" applyFill="1" applyAlignment="1" applyProtection="1">
      <alignment wrapText="1"/>
      <protection locked="0"/>
    </xf>
    <xf numFmtId="0" fontId="24" fillId="0" borderId="0" xfId="0" applyFont="1" applyFill="1" applyAlignment="1" applyProtection="1">
      <alignment horizontal="left" wrapText="1"/>
      <protection locked="0"/>
    </xf>
    <xf numFmtId="0" fontId="24" fillId="0" borderId="0" xfId="0" applyFont="1" applyFill="1" applyAlignment="1" applyProtection="1">
      <protection locked="0"/>
    </xf>
    <xf numFmtId="0" fontId="24" fillId="0" borderId="37" xfId="0" applyFont="1" applyBorder="1" applyProtection="1"/>
    <xf numFmtId="0" fontId="24" fillId="0" borderId="1" xfId="0" applyFont="1" applyBorder="1" applyProtection="1"/>
    <xf numFmtId="0" fontId="24" fillId="0" borderId="0" xfId="0" applyFont="1" applyFill="1" applyProtection="1">
      <protection locked="0"/>
    </xf>
    <xf numFmtId="0" fontId="24" fillId="0" borderId="1" xfId="0" applyFont="1" applyFill="1" applyBorder="1" applyProtection="1"/>
    <xf numFmtId="0" fontId="24" fillId="4" borderId="1" xfId="0" applyFont="1" applyFill="1" applyBorder="1" applyAlignment="1" applyProtection="1">
      <alignment horizontal="left"/>
    </xf>
    <xf numFmtId="0" fontId="24" fillId="0" borderId="1" xfId="0" applyFont="1" applyFill="1" applyBorder="1" applyAlignment="1" applyProtection="1">
      <alignment wrapText="1"/>
    </xf>
    <xf numFmtId="0" fontId="24" fillId="12" borderId="0" xfId="0" applyFont="1" applyFill="1" applyProtection="1"/>
    <xf numFmtId="0" fontId="28" fillId="0" borderId="0" xfId="0" applyFont="1" applyAlignment="1" applyProtection="1">
      <alignment wrapText="1"/>
    </xf>
    <xf numFmtId="0" fontId="24" fillId="0" borderId="0" xfId="0" applyFont="1" applyFill="1" applyBorder="1" applyProtection="1"/>
    <xf numFmtId="164" fontId="24" fillId="0" borderId="0" xfId="0" applyNumberFormat="1" applyFont="1" applyFill="1" applyBorder="1" applyProtection="1"/>
    <xf numFmtId="0" fontId="27" fillId="0" borderId="0" xfId="0" applyFont="1" applyFill="1" applyBorder="1" applyAlignment="1" applyProtection="1">
      <protection hidden="1"/>
    </xf>
    <xf numFmtId="0" fontId="28" fillId="0" borderId="0" xfId="0" applyFont="1" applyProtection="1"/>
    <xf numFmtId="0" fontId="24" fillId="6" borderId="8" xfId="0" applyFont="1" applyFill="1" applyBorder="1" applyProtection="1">
      <protection hidden="1"/>
    </xf>
    <xf numFmtId="0" fontId="25" fillId="0" borderId="0" xfId="0" applyFont="1" applyFill="1" applyBorder="1" applyAlignment="1" applyProtection="1">
      <alignment horizontal="left" wrapText="1"/>
      <protection locked="0" hidden="1"/>
    </xf>
    <xf numFmtId="0" fontId="27" fillId="0" borderId="0" xfId="0" applyFont="1" applyFill="1" applyBorder="1" applyAlignment="1" applyProtection="1">
      <protection locked="0" hidden="1"/>
    </xf>
    <xf numFmtId="0" fontId="27" fillId="0" borderId="0" xfId="0" applyFont="1" applyFill="1" applyBorder="1" applyAlignment="1" applyProtection="1">
      <alignment horizontal="center"/>
      <protection hidden="1"/>
    </xf>
    <xf numFmtId="0" fontId="27" fillId="0" borderId="0" xfId="0" applyFont="1" applyFill="1" applyBorder="1" applyAlignment="1" applyProtection="1">
      <alignment horizontal="left"/>
      <protection locked="0" hidden="1"/>
    </xf>
    <xf numFmtId="0" fontId="27" fillId="0" borderId="0" xfId="0" applyFont="1" applyFill="1" applyBorder="1" applyAlignment="1" applyProtection="1">
      <alignment horizontal="center"/>
      <protection locked="0" hidden="1"/>
    </xf>
    <xf numFmtId="0" fontId="24" fillId="0" borderId="0" xfId="0" applyFont="1" applyFill="1" applyProtection="1">
      <protection hidden="1"/>
    </xf>
    <xf numFmtId="0" fontId="27" fillId="0" borderId="0" xfId="0" applyFont="1" applyFill="1" applyBorder="1" applyAlignment="1" applyProtection="1">
      <alignment horizontal="center" wrapText="1"/>
      <protection locked="0" hidden="1"/>
    </xf>
    <xf numFmtId="0" fontId="27" fillId="0" borderId="0" xfId="0" applyFont="1" applyFill="1" applyBorder="1" applyAlignment="1" applyProtection="1">
      <alignment horizontal="left" wrapText="1"/>
      <protection locked="0" hidden="1"/>
    </xf>
    <xf numFmtId="0" fontId="26" fillId="0" borderId="35" xfId="0" applyFont="1" applyFill="1" applyBorder="1" applyAlignment="1" applyProtection="1">
      <alignment horizontal="center" vertical="center" wrapText="1"/>
      <protection hidden="1"/>
    </xf>
    <xf numFmtId="0" fontId="24" fillId="0" borderId="0" xfId="0" applyFont="1" applyFill="1" applyBorder="1" applyAlignment="1" applyProtection="1">
      <alignment horizontal="left" wrapText="1"/>
      <protection locked="0" hidden="1"/>
    </xf>
    <xf numFmtId="0" fontId="24" fillId="0" borderId="0" xfId="0" applyFont="1" applyFill="1" applyBorder="1" applyAlignment="1" applyProtection="1">
      <alignment horizontal="right"/>
      <protection locked="0" hidden="1"/>
    </xf>
    <xf numFmtId="2" fontId="24" fillId="0" borderId="0" xfId="0" applyNumberFormat="1" applyFont="1" applyFill="1" applyBorder="1" applyAlignment="1" applyProtection="1">
      <alignment horizontal="left" wrapText="1"/>
      <protection locked="0"/>
    </xf>
    <xf numFmtId="2" fontId="24" fillId="0" borderId="0" xfId="0" applyNumberFormat="1" applyFont="1" applyFill="1" applyBorder="1" applyAlignment="1" applyProtection="1">
      <alignment horizontal="right" wrapText="1"/>
      <protection locked="0"/>
    </xf>
    <xf numFmtId="2" fontId="24" fillId="0" borderId="0" xfId="0" applyNumberFormat="1" applyFont="1" applyFill="1" applyBorder="1" applyAlignment="1" applyProtection="1">
      <alignment horizontal="right"/>
      <protection locked="0"/>
    </xf>
    <xf numFmtId="2" fontId="24" fillId="0" borderId="0" xfId="0" applyNumberFormat="1" applyFont="1" applyFill="1" applyBorder="1" applyAlignment="1" applyProtection="1">
      <alignment wrapText="1"/>
      <protection locked="0"/>
    </xf>
    <xf numFmtId="2" fontId="24" fillId="0" borderId="0" xfId="0" applyNumberFormat="1" applyFont="1" applyFill="1" applyBorder="1" applyAlignment="1" applyProtection="1">
      <protection locked="0"/>
    </xf>
    <xf numFmtId="165" fontId="24" fillId="0" borderId="0" xfId="0" applyNumberFormat="1" applyFont="1" applyFill="1" applyBorder="1" applyAlignment="1" applyProtection="1">
      <alignment horizontal="left" wrapText="1"/>
      <protection locked="0"/>
    </xf>
    <xf numFmtId="0" fontId="24" fillId="0" borderId="0" xfId="0" applyFont="1" applyFill="1" applyBorder="1" applyAlignment="1" applyProtection="1">
      <alignment horizontal="left"/>
      <protection locked="0" hidden="1"/>
    </xf>
    <xf numFmtId="165" fontId="24" fillId="0" borderId="0" xfId="0" applyNumberFormat="1" applyFont="1" applyFill="1" applyBorder="1" applyAlignment="1" applyProtection="1">
      <alignment wrapText="1"/>
      <protection locked="0"/>
    </xf>
    <xf numFmtId="165" fontId="24" fillId="0" borderId="0" xfId="0" applyNumberFormat="1" applyFont="1" applyFill="1" applyBorder="1" applyAlignment="1" applyProtection="1">
      <protection locked="0"/>
    </xf>
    <xf numFmtId="0" fontId="26" fillId="0" borderId="0" xfId="0" applyFont="1" applyAlignment="1" applyProtection="1">
      <alignment horizontal="center"/>
    </xf>
    <xf numFmtId="0" fontId="24" fillId="0" borderId="16" xfId="0" applyFont="1" applyBorder="1" applyProtection="1"/>
    <xf numFmtId="0" fontId="24" fillId="0" borderId="26" xfId="0" applyFont="1" applyBorder="1" applyProtection="1"/>
    <xf numFmtId="0" fontId="0" fillId="9" borderId="0" xfId="0" applyFill="1"/>
    <xf numFmtId="2" fontId="0" fillId="9" borderId="0" xfId="0" applyNumberFormat="1" applyFill="1"/>
    <xf numFmtId="0" fontId="0" fillId="9" borderId="0" xfId="0" applyFill="1" applyAlignment="1">
      <alignment wrapText="1"/>
    </xf>
    <xf numFmtId="0" fontId="0" fillId="9" borderId="1" xfId="0" applyFill="1" applyBorder="1" applyAlignment="1" applyProtection="1">
      <alignment wrapText="1"/>
    </xf>
    <xf numFmtId="0" fontId="5" fillId="0" borderId="0" xfId="0" applyFont="1"/>
    <xf numFmtId="2" fontId="5" fillId="0" borderId="0" xfId="0" applyNumberFormat="1" applyFont="1"/>
    <xf numFmtId="0" fontId="37" fillId="0" borderId="0" xfId="0" applyFont="1"/>
    <xf numFmtId="0" fontId="5" fillId="0" borderId="0" xfId="0" applyFont="1" applyFill="1"/>
    <xf numFmtId="164" fontId="0" fillId="0" borderId="0" xfId="0" applyNumberFormat="1"/>
    <xf numFmtId="0" fontId="5" fillId="0" borderId="0" xfId="0" applyFont="1" applyAlignment="1">
      <alignment wrapText="1"/>
    </xf>
    <xf numFmtId="2" fontId="0" fillId="4" borderId="1" xfId="0" applyNumberFormat="1" applyFill="1" applyBorder="1"/>
    <xf numFmtId="0" fontId="0" fillId="7" borderId="1" xfId="0" applyFill="1" applyBorder="1"/>
    <xf numFmtId="2" fontId="5" fillId="12" borderId="1" xfId="0" applyNumberFormat="1" applyFont="1" applyFill="1" applyBorder="1"/>
    <xf numFmtId="2" fontId="5" fillId="0" borderId="0" xfId="0" applyNumberFormat="1" applyFont="1" applyFill="1" applyBorder="1"/>
    <xf numFmtId="0" fontId="0" fillId="0" borderId="0" xfId="0" applyFill="1" applyAlignment="1">
      <alignment wrapText="1"/>
    </xf>
    <xf numFmtId="0" fontId="5" fillId="0" borderId="0" xfId="0" applyFont="1" applyFill="1" applyAlignment="1">
      <alignment wrapText="1"/>
    </xf>
    <xf numFmtId="2" fontId="0" fillId="0" borderId="0" xfId="0" applyNumberFormat="1" applyFill="1" applyBorder="1"/>
    <xf numFmtId="0" fontId="0" fillId="0" borderId="0" xfId="0" applyAlignment="1">
      <alignment wrapText="1"/>
    </xf>
    <xf numFmtId="0" fontId="0" fillId="0" borderId="0" xfId="0" applyAlignment="1">
      <alignment horizontal="right" wrapText="1"/>
    </xf>
    <xf numFmtId="1" fontId="0" fillId="0" borderId="0" xfId="0" applyNumberFormat="1" applyAlignment="1">
      <alignment horizontal="center" wrapText="1"/>
    </xf>
    <xf numFmtId="0" fontId="35" fillId="0" borderId="0" xfId="0" applyFont="1" applyAlignment="1">
      <alignment horizontal="center" vertical="center" wrapText="1"/>
    </xf>
    <xf numFmtId="165" fontId="0" fillId="0" borderId="0" xfId="0" applyNumberFormat="1"/>
    <xf numFmtId="1" fontId="0" fillId="7" borderId="1" xfId="0" applyNumberFormat="1" applyFill="1" applyBorder="1"/>
    <xf numFmtId="9" fontId="5" fillId="12" borderId="1" xfId="4" applyFont="1" applyFill="1" applyBorder="1"/>
    <xf numFmtId="0" fontId="22" fillId="0" borderId="0" xfId="0" applyFont="1"/>
    <xf numFmtId="0" fontId="24" fillId="0" borderId="0" xfId="0" applyFont="1" applyFill="1" applyBorder="1" applyAlignment="1" applyProtection="1">
      <alignment horizontal="left" wrapText="1"/>
    </xf>
    <xf numFmtId="2" fontId="24" fillId="10" borderId="1" xfId="0" applyNumberFormat="1" applyFont="1" applyFill="1" applyBorder="1" applyProtection="1">
      <protection locked="0"/>
    </xf>
    <xf numFmtId="0" fontId="26" fillId="0" borderId="0" xfId="0" applyFont="1" applyFill="1" applyBorder="1" applyAlignment="1" applyProtection="1">
      <alignment horizontal="center" vertical="center" wrapText="1"/>
      <protection hidden="1"/>
    </xf>
    <xf numFmtId="0" fontId="24" fillId="0" borderId="0" xfId="0" applyFont="1" applyFill="1" applyBorder="1" applyAlignment="1" applyProtection="1">
      <alignment horizontal="center"/>
      <protection hidden="1"/>
    </xf>
    <xf numFmtId="0" fontId="5" fillId="0" borderId="0" xfId="3" applyFont="1" applyBorder="1" applyProtection="1"/>
    <xf numFmtId="0" fontId="5" fillId="6" borderId="0" xfId="3" applyFont="1" applyFill="1" applyProtection="1"/>
    <xf numFmtId="0" fontId="41" fillId="0" borderId="0" xfId="0" applyFont="1" applyAlignment="1" applyProtection="1">
      <alignment horizontal="center"/>
    </xf>
    <xf numFmtId="0" fontId="0" fillId="0" borderId="0" xfId="0" applyFill="1" applyBorder="1" applyAlignment="1" applyProtection="1">
      <alignment horizontal="center"/>
      <protection locked="0"/>
    </xf>
    <xf numFmtId="1" fontId="0" fillId="0" borderId="0" xfId="0" applyNumberFormat="1" applyFill="1" applyBorder="1" applyAlignment="1" applyProtection="1">
      <alignment horizontal="center"/>
      <protection locked="0"/>
    </xf>
    <xf numFmtId="164" fontId="0" fillId="0" borderId="0" xfId="0" applyNumberFormat="1" applyFill="1" applyBorder="1" applyAlignment="1" applyProtection="1">
      <alignment horizontal="center"/>
      <protection locked="0"/>
    </xf>
    <xf numFmtId="0" fontId="0" fillId="0" borderId="0" xfId="0" applyFill="1" applyAlignment="1" applyProtection="1">
      <alignment horizontal="center"/>
      <protection locked="0"/>
    </xf>
    <xf numFmtId="2" fontId="43" fillId="13" borderId="39" xfId="0" applyNumberFormat="1" applyFont="1" applyFill="1" applyBorder="1" applyAlignment="1" applyProtection="1">
      <alignment vertical="center" wrapText="1"/>
    </xf>
    <xf numFmtId="0" fontId="24" fillId="0" borderId="40" xfId="8" applyFont="1" applyFill="1" applyBorder="1" applyAlignment="1" applyProtection="1">
      <alignment horizontal="left" wrapText="1"/>
      <protection locked="0"/>
    </xf>
    <xf numFmtId="0" fontId="44" fillId="0" borderId="0" xfId="0" applyFont="1" applyAlignment="1" applyProtection="1">
      <alignment horizontal="center"/>
    </xf>
    <xf numFmtId="0" fontId="39" fillId="0" borderId="0" xfId="0" applyFont="1" applyAlignment="1" applyProtection="1">
      <alignment wrapText="1"/>
    </xf>
    <xf numFmtId="0" fontId="5" fillId="6" borderId="8" xfId="3" applyFont="1" applyFill="1" applyBorder="1" applyProtection="1"/>
    <xf numFmtId="0" fontId="0" fillId="0" borderId="8" xfId="0" applyBorder="1"/>
    <xf numFmtId="0" fontId="24" fillId="0" borderId="8" xfId="0" applyFont="1" applyBorder="1" applyProtection="1"/>
    <xf numFmtId="2" fontId="43" fillId="13" borderId="8" xfId="0" applyNumberFormat="1" applyFont="1" applyFill="1" applyBorder="1" applyAlignment="1" applyProtection="1">
      <alignment vertical="center" wrapText="1"/>
    </xf>
    <xf numFmtId="0" fontId="24" fillId="10" borderId="1" xfId="8" applyFont="1" applyFill="1" applyBorder="1" applyProtection="1"/>
    <xf numFmtId="0" fontId="10" fillId="6" borderId="0" xfId="7" applyFont="1" applyFill="1" applyAlignment="1">
      <alignment horizontal="left"/>
    </xf>
    <xf numFmtId="0" fontId="5" fillId="6" borderId="0" xfId="7" applyFill="1"/>
    <xf numFmtId="0" fontId="5" fillId="0" borderId="0" xfId="7"/>
    <xf numFmtId="0" fontId="8" fillId="0" borderId="0" xfId="7" applyFont="1"/>
    <xf numFmtId="0" fontId="5" fillId="5" borderId="0" xfId="7" applyFill="1" applyAlignment="1" applyProtection="1">
      <alignment horizontal="right"/>
      <protection locked="0"/>
    </xf>
    <xf numFmtId="0" fontId="22" fillId="0" borderId="0" xfId="7" applyFont="1"/>
    <xf numFmtId="0" fontId="14" fillId="0" borderId="0" xfId="7" applyFont="1"/>
    <xf numFmtId="0" fontId="5" fillId="0" borderId="0" xfId="7" applyAlignment="1">
      <alignment horizontal="right"/>
    </xf>
    <xf numFmtId="0" fontId="40" fillId="0" borderId="0" xfId="7" applyFont="1"/>
    <xf numFmtId="11" fontId="25" fillId="11" borderId="1" xfId="6" applyNumberFormat="1" applyFill="1" applyBorder="1" applyAlignment="1" applyProtection="1">
      <alignment horizontal="left" vertical="center"/>
      <protection locked="0"/>
    </xf>
    <xf numFmtId="11" fontId="25" fillId="11" borderId="1" xfId="6" applyNumberFormat="1" applyFill="1" applyBorder="1" applyAlignment="1" applyProtection="1">
      <alignment horizontal="left" vertical="center" wrapText="1"/>
      <protection locked="0"/>
    </xf>
    <xf numFmtId="0" fontId="26" fillId="0" borderId="33" xfId="8" applyFont="1" applyBorder="1"/>
    <xf numFmtId="0" fontId="49" fillId="0" borderId="33" xfId="0" applyFont="1" applyBorder="1"/>
    <xf numFmtId="0" fontId="49" fillId="0" borderId="31" xfId="0" applyFont="1" applyBorder="1"/>
    <xf numFmtId="0" fontId="49" fillId="0" borderId="20" xfId="0" applyFont="1" applyBorder="1"/>
    <xf numFmtId="0" fontId="27" fillId="0" borderId="0" xfId="0" applyFont="1" applyFill="1" applyBorder="1" applyAlignment="1" applyProtection="1">
      <alignment horizontal="left"/>
      <protection hidden="1"/>
    </xf>
    <xf numFmtId="0" fontId="24" fillId="0" borderId="31" xfId="8" applyFont="1" applyFill="1" applyBorder="1" applyProtection="1"/>
    <xf numFmtId="0" fontId="24" fillId="0" borderId="20" xfId="8" applyFont="1" applyFill="1" applyBorder="1" applyProtection="1"/>
    <xf numFmtId="0" fontId="24" fillId="0" borderId="33" xfId="8" applyFont="1" applyFill="1" applyBorder="1" applyProtection="1"/>
    <xf numFmtId="0" fontId="24" fillId="0" borderId="2" xfId="8" applyFont="1" applyBorder="1" applyAlignment="1">
      <alignment wrapText="1"/>
    </xf>
    <xf numFmtId="0" fontId="24" fillId="0" borderId="33" xfId="8" applyFont="1" applyFill="1" applyBorder="1" applyAlignment="1" applyProtection="1">
      <alignment wrapText="1"/>
    </xf>
    <xf numFmtId="0" fontId="24" fillId="0" borderId="31" xfId="8" applyFont="1" applyFill="1" applyBorder="1" applyAlignment="1" applyProtection="1">
      <alignment wrapText="1"/>
    </xf>
    <xf numFmtId="0" fontId="24" fillId="0" borderId="20" xfId="8" applyFont="1" applyFill="1" applyBorder="1" applyAlignment="1" applyProtection="1">
      <alignment wrapText="1"/>
    </xf>
    <xf numFmtId="0" fontId="26" fillId="0" borderId="41" xfId="8" applyFont="1" applyBorder="1"/>
    <xf numFmtId="0" fontId="24" fillId="0" borderId="0" xfId="8" applyFont="1" applyBorder="1" applyAlignment="1">
      <alignment wrapText="1"/>
    </xf>
    <xf numFmtId="0" fontId="24" fillId="0" borderId="13" xfId="8" applyFont="1" applyBorder="1" applyAlignment="1">
      <alignment wrapText="1"/>
    </xf>
    <xf numFmtId="0" fontId="24" fillId="0" borderId="33" xfId="0" applyFont="1" applyFill="1" applyBorder="1" applyProtection="1"/>
    <xf numFmtId="0" fontId="24" fillId="0" borderId="31" xfId="0" applyFont="1" applyFill="1" applyBorder="1" applyProtection="1"/>
    <xf numFmtId="0" fontId="24" fillId="0" borderId="20" xfId="0" applyFont="1" applyFill="1" applyBorder="1" applyProtection="1"/>
    <xf numFmtId="0" fontId="24" fillId="0" borderId="35" xfId="0" applyFont="1" applyFill="1" applyBorder="1" applyProtection="1"/>
    <xf numFmtId="0" fontId="24" fillId="0" borderId="42" xfId="8" applyFont="1" applyFill="1" applyBorder="1" applyProtection="1"/>
    <xf numFmtId="0" fontId="24" fillId="0" borderId="11" xfId="0" applyFont="1" applyFill="1" applyBorder="1" applyProtection="1"/>
    <xf numFmtId="0" fontId="24" fillId="0" borderId="43" xfId="8" applyFont="1" applyFill="1" applyBorder="1" applyProtection="1"/>
    <xf numFmtId="0" fontId="24" fillId="0" borderId="11" xfId="8" applyFont="1" applyFill="1" applyBorder="1" applyProtection="1"/>
    <xf numFmtId="0" fontId="24" fillId="0" borderId="12" xfId="8" applyFont="1" applyFill="1" applyBorder="1" applyProtection="1"/>
    <xf numFmtId="0" fontId="24" fillId="0" borderId="14" xfId="8" applyFont="1" applyFill="1" applyBorder="1" applyProtection="1"/>
    <xf numFmtId="0" fontId="0" fillId="0" borderId="33" xfId="0" applyBorder="1"/>
    <xf numFmtId="0" fontId="0" fillId="0" borderId="31" xfId="0" applyBorder="1"/>
    <xf numFmtId="0" fontId="0" fillId="0" borderId="20" xfId="0" applyBorder="1"/>
    <xf numFmtId="0" fontId="24" fillId="0" borderId="35" xfId="8" applyFont="1" applyFill="1" applyBorder="1" applyProtection="1"/>
    <xf numFmtId="0" fontId="24" fillId="0" borderId="33" xfId="8" applyFont="1" applyBorder="1"/>
    <xf numFmtId="0" fontId="24" fillId="0" borderId="20" xfId="8" applyFont="1" applyBorder="1"/>
    <xf numFmtId="0" fontId="24" fillId="0" borderId="31" xfId="8" applyFont="1" applyBorder="1"/>
    <xf numFmtId="0" fontId="26" fillId="0" borderId="0" xfId="0" applyFont="1" applyAlignment="1" applyProtection="1">
      <alignment horizontal="right" wrapText="1"/>
      <protection hidden="1"/>
    </xf>
    <xf numFmtId="0" fontId="24" fillId="4" borderId="37" xfId="0" applyFont="1" applyFill="1" applyBorder="1" applyProtection="1">
      <protection hidden="1"/>
    </xf>
    <xf numFmtId="0" fontId="27" fillId="0" borderId="35" xfId="0" applyFont="1" applyBorder="1" applyAlignment="1" applyProtection="1">
      <alignment horizontal="center"/>
      <protection hidden="1"/>
    </xf>
    <xf numFmtId="2" fontId="26" fillId="0" borderId="11" xfId="0" applyNumberFormat="1"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0" fontId="27" fillId="0" borderId="0" xfId="0" applyFont="1" applyFill="1" applyBorder="1" applyAlignment="1" applyProtection="1">
      <alignment horizontal="center" wrapText="1"/>
      <protection hidden="1"/>
    </xf>
    <xf numFmtId="0" fontId="27" fillId="0" borderId="41" xfId="0" applyFont="1" applyFill="1" applyBorder="1" applyAlignment="1" applyProtection="1">
      <alignment horizontal="center" wrapText="1"/>
      <protection hidden="1"/>
    </xf>
    <xf numFmtId="0" fontId="27" fillId="0" borderId="42" xfId="0" applyFont="1" applyFill="1" applyBorder="1" applyAlignment="1" applyProtection="1">
      <alignment horizontal="center" wrapText="1"/>
      <protection hidden="1"/>
    </xf>
    <xf numFmtId="0" fontId="26" fillId="9" borderId="21" xfId="0" applyFont="1" applyFill="1" applyBorder="1" applyAlignment="1" applyProtection="1">
      <alignment horizontal="center"/>
    </xf>
    <xf numFmtId="0" fontId="27" fillId="0" borderId="0" xfId="0" applyFont="1" applyAlignment="1" applyProtection="1">
      <alignment horizontal="center" wrapText="1"/>
      <protection hidden="1"/>
    </xf>
    <xf numFmtId="0" fontId="24" fillId="0" borderId="12" xfId="8" applyFont="1" applyBorder="1" applyAlignment="1">
      <alignment wrapText="1"/>
    </xf>
    <xf numFmtId="17" fontId="52" fillId="0" borderId="0" xfId="0" quotePrefix="1" applyNumberFormat="1" applyFont="1" applyAlignment="1" applyProtection="1">
      <alignment horizontal="center"/>
    </xf>
    <xf numFmtId="0" fontId="24" fillId="10" borderId="31" xfId="8" applyFont="1" applyFill="1" applyBorder="1" applyProtection="1"/>
    <xf numFmtId="0" fontId="24" fillId="10" borderId="20" xfId="8" applyFont="1" applyFill="1" applyBorder="1" applyProtection="1"/>
    <xf numFmtId="0" fontId="55" fillId="9" borderId="0" xfId="8" applyFont="1" applyFill="1" applyBorder="1" applyProtection="1"/>
    <xf numFmtId="0" fontId="58" fillId="6" borderId="8" xfId="3" applyFont="1" applyFill="1" applyBorder="1" applyAlignment="1" applyProtection="1">
      <alignment vertical="top" wrapText="1"/>
    </xf>
    <xf numFmtId="0" fontId="45" fillId="6" borderId="8" xfId="3" applyFont="1" applyFill="1" applyBorder="1" applyProtection="1"/>
    <xf numFmtId="0" fontId="57" fillId="0" borderId="0" xfId="0" applyFont="1"/>
    <xf numFmtId="0" fontId="59" fillId="0" borderId="0" xfId="3" applyFont="1" applyProtection="1"/>
    <xf numFmtId="2" fontId="61" fillId="13" borderId="7" xfId="0" applyNumberFormat="1" applyFont="1" applyFill="1" applyBorder="1" applyAlignment="1" applyProtection="1">
      <alignment vertical="center" wrapText="1"/>
    </xf>
    <xf numFmtId="2" fontId="61" fillId="13" borderId="8" xfId="0" applyNumberFormat="1" applyFont="1" applyFill="1" applyBorder="1" applyAlignment="1" applyProtection="1">
      <alignment vertical="center" wrapText="1"/>
    </xf>
    <xf numFmtId="0" fontId="32" fillId="0" borderId="37" xfId="6" applyFont="1" applyFill="1" applyBorder="1" applyAlignment="1" applyProtection="1">
      <alignment horizontal="left" vertical="top" wrapText="1"/>
    </xf>
    <xf numFmtId="0" fontId="54" fillId="0" borderId="0" xfId="0" applyFont="1" applyAlignment="1" applyProtection="1">
      <alignment horizontal="left" vertical="top"/>
    </xf>
    <xf numFmtId="0" fontId="54" fillId="0" borderId="0" xfId="0" applyFont="1" applyFill="1" applyAlignment="1" applyProtection="1">
      <alignment horizontal="left" vertical="top" wrapText="1"/>
    </xf>
    <xf numFmtId="0" fontId="32" fillId="0" borderId="1" xfId="6" applyFont="1" applyFill="1" applyBorder="1" applyAlignment="1" applyProtection="1">
      <alignment horizontal="left" vertical="top" wrapText="1"/>
    </xf>
    <xf numFmtId="0" fontId="54" fillId="0" borderId="0" xfId="0" applyFont="1"/>
    <xf numFmtId="0" fontId="54" fillId="0" borderId="1" xfId="0" applyFont="1" applyBorder="1" applyAlignment="1" applyProtection="1">
      <alignment vertical="center"/>
    </xf>
    <xf numFmtId="0" fontId="54" fillId="0" borderId="1" xfId="0" applyFont="1" applyBorder="1" applyProtection="1"/>
    <xf numFmtId="0" fontId="54" fillId="0" borderId="1" xfId="0" applyFont="1" applyBorder="1"/>
    <xf numFmtId="0" fontId="54" fillId="0" borderId="38" xfId="0" applyFont="1" applyBorder="1"/>
    <xf numFmtId="0" fontId="54" fillId="0" borderId="0" xfId="0" applyFont="1" applyProtection="1"/>
    <xf numFmtId="0" fontId="64" fillId="0" borderId="0" xfId="0" applyFont="1"/>
    <xf numFmtId="168" fontId="24" fillId="0" borderId="0" xfId="0" applyNumberFormat="1" applyFont="1" applyProtection="1"/>
    <xf numFmtId="0" fontId="25" fillId="11" borderId="17" xfId="6" applyFont="1" applyFill="1" applyBorder="1" applyAlignment="1" applyProtection="1">
      <alignment horizontal="center" vertical="top" wrapText="1"/>
      <protection locked="0"/>
    </xf>
    <xf numFmtId="0" fontId="25" fillId="11" borderId="25" xfId="6" applyFont="1" applyFill="1" applyBorder="1" applyAlignment="1" applyProtection="1">
      <alignment horizontal="center" vertical="top" wrapText="1"/>
      <protection locked="0"/>
    </xf>
    <xf numFmtId="0" fontId="48" fillId="0" borderId="0" xfId="0" applyFont="1" applyFill="1" applyBorder="1" applyProtection="1"/>
    <xf numFmtId="0" fontId="66" fillId="0" borderId="0" xfId="0" applyFont="1" applyFill="1" applyAlignment="1" applyProtection="1">
      <alignment wrapText="1"/>
    </xf>
    <xf numFmtId="0" fontId="66" fillId="0" borderId="0" xfId="8" applyFont="1" applyFill="1" applyProtection="1"/>
    <xf numFmtId="0" fontId="66" fillId="0" borderId="0" xfId="0" applyFont="1" applyFill="1" applyBorder="1" applyAlignment="1" applyProtection="1">
      <alignment horizontal="left" vertical="top"/>
    </xf>
    <xf numFmtId="0" fontId="66" fillId="0" borderId="0" xfId="0" applyFont="1" applyFill="1" applyAlignment="1" applyProtection="1">
      <alignment horizontal="left" vertical="top"/>
    </xf>
    <xf numFmtId="0" fontId="67" fillId="0" borderId="0" xfId="0" applyFont="1" applyFill="1"/>
    <xf numFmtId="0" fontId="66" fillId="0" borderId="0" xfId="0" applyFont="1" applyFill="1"/>
    <xf numFmtId="0" fontId="68" fillId="0" borderId="0" xfId="3" applyFont="1" applyFill="1" applyProtection="1"/>
    <xf numFmtId="0" fontId="67" fillId="0" borderId="0" xfId="0" applyFont="1" applyFill="1" applyProtection="1"/>
    <xf numFmtId="0" fontId="5" fillId="0" borderId="1" xfId="0" applyFont="1" applyBorder="1"/>
    <xf numFmtId="0" fontId="72" fillId="0" borderId="61" xfId="10" applyFont="1" applyBorder="1" applyAlignment="1">
      <alignment horizontal="center" vertical="center" wrapText="1"/>
    </xf>
    <xf numFmtId="0" fontId="4" fillId="0" borderId="0" xfId="10"/>
    <xf numFmtId="0" fontId="73" fillId="8" borderId="26" xfId="10" applyFont="1" applyFill="1" applyBorder="1" applyAlignment="1">
      <alignment horizontal="center" vertical="top" wrapText="1"/>
    </xf>
    <xf numFmtId="0" fontId="70" fillId="19" borderId="50" xfId="10" applyFont="1" applyFill="1" applyBorder="1" applyAlignment="1">
      <alignment horizontal="center" vertical="top"/>
    </xf>
    <xf numFmtId="0" fontId="70" fillId="0" borderId="15" xfId="10" applyFont="1" applyBorder="1" applyAlignment="1">
      <alignment horizontal="center" vertical="top"/>
    </xf>
    <xf numFmtId="0" fontId="70" fillId="0" borderId="10" xfId="10" applyFont="1" applyBorder="1" applyAlignment="1">
      <alignment horizontal="center" vertical="top"/>
    </xf>
    <xf numFmtId="0" fontId="70" fillId="0" borderId="21" xfId="10" applyFont="1" applyBorder="1" applyAlignment="1">
      <alignment horizontal="center" vertical="top"/>
    </xf>
    <xf numFmtId="0" fontId="70" fillId="18" borderId="63" xfId="10" applyFont="1" applyFill="1" applyBorder="1" applyAlignment="1">
      <alignment horizontal="center" vertical="top"/>
    </xf>
    <xf numFmtId="0" fontId="70" fillId="18" borderId="30" xfId="10" applyFont="1" applyFill="1" applyBorder="1" applyAlignment="1">
      <alignment horizontal="center" vertical="top"/>
    </xf>
    <xf numFmtId="0" fontId="70" fillId="18" borderId="25" xfId="10" applyFont="1" applyFill="1" applyBorder="1" applyAlignment="1">
      <alignment horizontal="center" vertical="top"/>
    </xf>
    <xf numFmtId="0" fontId="4" fillId="0" borderId="0" xfId="10" applyAlignment="1">
      <alignment vertical="top"/>
    </xf>
    <xf numFmtId="0" fontId="74" fillId="0" borderId="0" xfId="10" applyFont="1" applyAlignment="1">
      <alignment vertical="top"/>
    </xf>
    <xf numFmtId="0" fontId="4" fillId="19" borderId="64" xfId="10" applyFill="1" applyBorder="1"/>
    <xf numFmtId="0" fontId="4" fillId="0" borderId="16" xfId="10" applyBorder="1" applyAlignment="1">
      <alignment horizontal="center"/>
    </xf>
    <xf numFmtId="0" fontId="4" fillId="0" borderId="1" xfId="10" applyBorder="1" applyAlignment="1">
      <alignment horizontal="center"/>
    </xf>
    <xf numFmtId="0" fontId="4" fillId="0" borderId="17" xfId="10" applyBorder="1" applyAlignment="1">
      <alignment horizontal="center"/>
    </xf>
    <xf numFmtId="0" fontId="4" fillId="18" borderId="56" xfId="10" applyFill="1" applyBorder="1" applyAlignment="1">
      <alignment horizontal="center"/>
    </xf>
    <xf numFmtId="0" fontId="4" fillId="18" borderId="37" xfId="10" applyFill="1" applyBorder="1" applyAlignment="1">
      <alignment horizontal="center"/>
    </xf>
    <xf numFmtId="0" fontId="4" fillId="18" borderId="51" xfId="10" applyFill="1" applyBorder="1" applyAlignment="1">
      <alignment horizontal="center"/>
    </xf>
    <xf numFmtId="0" fontId="4" fillId="18" borderId="6" xfId="10" applyFill="1" applyBorder="1" applyAlignment="1">
      <alignment horizontal="center"/>
    </xf>
    <xf numFmtId="0" fontId="4" fillId="18" borderId="1" xfId="10" applyFill="1" applyBorder="1" applyAlignment="1">
      <alignment horizontal="center"/>
    </xf>
    <xf numFmtId="0" fontId="4" fillId="18" borderId="17" xfId="10" applyFill="1" applyBorder="1" applyAlignment="1">
      <alignment horizontal="center"/>
    </xf>
    <xf numFmtId="0" fontId="4" fillId="18" borderId="63" xfId="10" applyFill="1" applyBorder="1" applyAlignment="1">
      <alignment horizontal="center"/>
    </xf>
    <xf numFmtId="0" fontId="4" fillId="18" borderId="30" xfId="10" applyFill="1" applyBorder="1" applyAlignment="1">
      <alignment horizontal="center"/>
    </xf>
    <xf numFmtId="0" fontId="4" fillId="18" borderId="25" xfId="10" applyFill="1" applyBorder="1" applyAlignment="1">
      <alignment horizontal="center"/>
    </xf>
    <xf numFmtId="0" fontId="4" fillId="19" borderId="0" xfId="10" applyFill="1"/>
    <xf numFmtId="0" fontId="4" fillId="0" borderId="0" xfId="10" applyAlignment="1">
      <alignment horizontal="center"/>
    </xf>
    <xf numFmtId="0" fontId="3" fillId="19" borderId="0" xfId="10" applyFont="1" applyFill="1"/>
    <xf numFmtId="0" fontId="26" fillId="17" borderId="1" xfId="8" applyFont="1" applyFill="1" applyBorder="1" applyAlignment="1">
      <alignment horizontal="left" vertical="center" wrapText="1"/>
    </xf>
    <xf numFmtId="0" fontId="76" fillId="0" borderId="1" xfId="8" applyFont="1" applyFill="1" applyBorder="1" applyAlignment="1">
      <alignment horizontal="left" vertical="center" wrapText="1"/>
    </xf>
    <xf numFmtId="2" fontId="79" fillId="13" borderId="8" xfId="0" applyNumberFormat="1" applyFont="1" applyFill="1" applyBorder="1" applyAlignment="1" applyProtection="1">
      <alignment vertical="center" wrapText="1"/>
    </xf>
    <xf numFmtId="2" fontId="80" fillId="0" borderId="9" xfId="0" applyNumberFormat="1" applyFont="1" applyFill="1" applyBorder="1" applyAlignment="1" applyProtection="1">
      <alignment wrapText="1"/>
    </xf>
    <xf numFmtId="0" fontId="30" fillId="0" borderId="9" xfId="0" applyFont="1" applyFill="1" applyBorder="1" applyAlignment="1" applyProtection="1">
      <alignment vertical="top" wrapText="1"/>
      <protection hidden="1"/>
    </xf>
    <xf numFmtId="0" fontId="76" fillId="0" borderId="0" xfId="0" applyFont="1" applyFill="1" applyBorder="1" applyAlignment="1" applyProtection="1">
      <alignment vertical="top" wrapText="1"/>
      <protection hidden="1"/>
    </xf>
    <xf numFmtId="0" fontId="80" fillId="0" borderId="0" xfId="0" applyFont="1" applyAlignment="1" applyProtection="1">
      <alignment wrapText="1"/>
    </xf>
    <xf numFmtId="0" fontId="4" fillId="18" borderId="54" xfId="10" applyFill="1" applyBorder="1" applyAlignment="1">
      <alignment horizontal="center"/>
    </xf>
    <xf numFmtId="0" fontId="4" fillId="18" borderId="4" xfId="10" applyFill="1" applyBorder="1" applyAlignment="1">
      <alignment horizontal="center"/>
    </xf>
    <xf numFmtId="0" fontId="4" fillId="18" borderId="66" xfId="10" applyFill="1" applyBorder="1" applyAlignment="1">
      <alignment horizontal="center"/>
    </xf>
    <xf numFmtId="0" fontId="70" fillId="18" borderId="66" xfId="10" applyFont="1" applyFill="1" applyBorder="1" applyAlignment="1">
      <alignment horizontal="center" vertical="top" wrapText="1"/>
    </xf>
    <xf numFmtId="0" fontId="82" fillId="18" borderId="62" xfId="10" applyFont="1" applyFill="1" applyBorder="1" applyAlignment="1">
      <alignment vertical="top" wrapText="1"/>
    </xf>
    <xf numFmtId="0" fontId="83" fillId="0" borderId="0" xfId="10" applyFont="1" applyAlignment="1">
      <alignment vertical="top"/>
    </xf>
    <xf numFmtId="0" fontId="83" fillId="0" borderId="0" xfId="10" applyFont="1" applyAlignment="1">
      <alignment vertical="top" wrapText="1"/>
    </xf>
    <xf numFmtId="0" fontId="70" fillId="0" borderId="65" xfId="10" applyFont="1" applyBorder="1" applyAlignment="1">
      <alignment horizontal="center" vertical="top"/>
    </xf>
    <xf numFmtId="0" fontId="4" fillId="0" borderId="4" xfId="10" applyBorder="1" applyAlignment="1">
      <alignment horizontal="center"/>
    </xf>
    <xf numFmtId="0" fontId="83" fillId="0" borderId="0" xfId="10" applyFont="1" applyAlignment="1">
      <alignment horizontal="center" vertical="top" wrapText="1"/>
    </xf>
    <xf numFmtId="0" fontId="61" fillId="13" borderId="8" xfId="0" applyNumberFormat="1" applyFont="1" applyFill="1" applyBorder="1" applyAlignment="1" applyProtection="1">
      <alignment horizontal="center" vertical="center" wrapText="1"/>
    </xf>
    <xf numFmtId="0" fontId="24" fillId="21" borderId="0" xfId="0" applyFont="1" applyFill="1" applyProtection="1"/>
    <xf numFmtId="0" fontId="24" fillId="21" borderId="0" xfId="0" applyFont="1" applyFill="1" applyAlignment="1" applyProtection="1">
      <alignment wrapText="1"/>
    </xf>
    <xf numFmtId="0" fontId="24" fillId="21" borderId="0" xfId="0" applyFont="1" applyFill="1" applyAlignment="1" applyProtection="1">
      <alignment horizontal="left" wrapText="1"/>
    </xf>
    <xf numFmtId="0" fontId="24" fillId="21" borderId="0" xfId="0" applyFont="1" applyFill="1" applyAlignment="1" applyProtection="1"/>
    <xf numFmtId="0" fontId="54" fillId="21" borderId="0" xfId="0" applyFont="1" applyFill="1" applyAlignment="1" applyProtection="1">
      <alignment horizontal="left" vertical="top" wrapText="1"/>
    </xf>
    <xf numFmtId="0" fontId="54" fillId="21" borderId="0" xfId="3" applyFont="1" applyFill="1" applyAlignment="1" applyProtection="1">
      <alignment wrapText="1"/>
    </xf>
    <xf numFmtId="0" fontId="59" fillId="21" borderId="0" xfId="3" applyFont="1" applyFill="1" applyProtection="1"/>
    <xf numFmtId="0" fontId="7" fillId="21" borderId="0" xfId="3" applyFont="1" applyFill="1" applyProtection="1"/>
    <xf numFmtId="2" fontId="87" fillId="21" borderId="7" xfId="0" applyNumberFormat="1" applyFont="1" applyFill="1" applyBorder="1" applyAlignment="1" applyProtection="1">
      <alignment vertical="center" wrapText="1"/>
    </xf>
    <xf numFmtId="0" fontId="5" fillId="21" borderId="0" xfId="0" applyFont="1" applyFill="1"/>
    <xf numFmtId="0" fontId="54" fillId="21" borderId="37" xfId="6" applyFont="1" applyFill="1" applyBorder="1" applyAlignment="1" applyProtection="1">
      <alignment horizontal="left" vertical="top" wrapText="1"/>
    </xf>
    <xf numFmtId="0" fontId="54" fillId="21" borderId="1" xfId="6" applyFont="1" applyFill="1" applyBorder="1" applyAlignment="1" applyProtection="1">
      <alignment horizontal="left" vertical="top" wrapText="1"/>
    </xf>
    <xf numFmtId="0" fontId="87" fillId="21" borderId="8" xfId="0" applyNumberFormat="1" applyFont="1" applyFill="1" applyBorder="1" applyAlignment="1" applyProtection="1">
      <alignment horizontal="center" vertical="center" wrapText="1"/>
    </xf>
    <xf numFmtId="0" fontId="24" fillId="21" borderId="0" xfId="0" applyFont="1" applyFill="1" applyAlignment="1" applyProtection="1">
      <alignment horizontal="left" vertical="top"/>
    </xf>
    <xf numFmtId="0" fontId="57" fillId="21" borderId="0" xfId="0" applyFont="1" applyFill="1" applyProtection="1"/>
    <xf numFmtId="0" fontId="5" fillId="21" borderId="0" xfId="0" applyFont="1" applyFill="1" applyProtection="1"/>
    <xf numFmtId="0" fontId="87" fillId="21" borderId="41" xfId="0" applyNumberFormat="1" applyFont="1" applyFill="1" applyBorder="1" applyAlignment="1" applyProtection="1">
      <alignment horizontal="center" vertical="center" wrapText="1"/>
    </xf>
    <xf numFmtId="0" fontId="54" fillId="10" borderId="1" xfId="0" applyFont="1" applyFill="1" applyBorder="1" applyAlignment="1" applyProtection="1">
      <alignment horizontal="left" vertical="top"/>
    </xf>
    <xf numFmtId="0" fontId="88" fillId="22" borderId="7" xfId="0" applyFont="1" applyFill="1" applyBorder="1" applyAlignment="1" applyProtection="1">
      <alignment horizontal="left"/>
    </xf>
    <xf numFmtId="0" fontId="88" fillId="22" borderId="58" xfId="0" applyFont="1" applyFill="1" applyBorder="1" applyAlignment="1" applyProtection="1">
      <alignment horizontal="center"/>
    </xf>
    <xf numFmtId="2" fontId="54" fillId="10" borderId="37" xfId="6" applyNumberFormat="1" applyFont="1" applyFill="1" applyBorder="1" applyAlignment="1" applyProtection="1">
      <alignment horizontal="left" vertical="top" wrapText="1"/>
    </xf>
    <xf numFmtId="0" fontId="24" fillId="10" borderId="1" xfId="0" applyFont="1" applyFill="1" applyBorder="1" applyAlignment="1" applyProtection="1">
      <alignment horizontal="left"/>
    </xf>
    <xf numFmtId="0" fontId="57" fillId="10" borderId="0" xfId="0" applyFont="1" applyFill="1"/>
    <xf numFmtId="0" fontId="24" fillId="10" borderId="6" xfId="0" applyFont="1" applyFill="1" applyBorder="1" applyAlignment="1" applyProtection="1">
      <alignment horizontal="left"/>
    </xf>
    <xf numFmtId="0" fontId="24" fillId="21" borderId="1" xfId="0" applyFont="1" applyFill="1" applyBorder="1" applyAlignment="1" applyProtection="1">
      <alignment wrapText="1"/>
    </xf>
    <xf numFmtId="0" fontId="57" fillId="21" borderId="1" xfId="0" applyFont="1" applyFill="1" applyBorder="1"/>
    <xf numFmtId="171" fontId="54" fillId="10" borderId="37" xfId="6" applyNumberFormat="1" applyFont="1" applyFill="1" applyBorder="1" applyAlignment="1" applyProtection="1">
      <alignment horizontal="left" vertical="top" wrapText="1"/>
    </xf>
    <xf numFmtId="171" fontId="54" fillId="10" borderId="1" xfId="0" applyNumberFormat="1" applyFont="1" applyFill="1" applyBorder="1" applyAlignment="1" applyProtection="1">
      <alignment horizontal="left" vertical="top"/>
    </xf>
    <xf numFmtId="2" fontId="24" fillId="10" borderId="43" xfId="8" applyNumberFormat="1" applyFont="1" applyFill="1" applyBorder="1" applyProtection="1"/>
    <xf numFmtId="0" fontId="60" fillId="6" borderId="1" xfId="0" applyFont="1" applyFill="1" applyBorder="1" applyAlignment="1" applyProtection="1">
      <alignment wrapText="1"/>
    </xf>
    <xf numFmtId="0" fontId="5" fillId="0" borderId="1" xfId="0" applyFont="1" applyBorder="1" applyAlignment="1">
      <alignment wrapText="1"/>
    </xf>
    <xf numFmtId="0" fontId="48" fillId="0" borderId="1" xfId="0" applyFont="1" applyBorder="1" applyProtection="1"/>
    <xf numFmtId="0" fontId="89" fillId="0" borderId="0" xfId="0" applyFont="1"/>
    <xf numFmtId="0" fontId="90" fillId="0" borderId="0" xfId="0" applyFont="1"/>
    <xf numFmtId="0" fontId="0" fillId="20" borderId="0" xfId="0" applyFill="1"/>
    <xf numFmtId="10" fontId="0" fillId="20" borderId="0" xfId="4" applyNumberFormat="1" applyFont="1" applyFill="1"/>
    <xf numFmtId="0" fontId="91" fillId="9" borderId="0" xfId="0" applyFont="1" applyFill="1" applyAlignment="1">
      <alignment wrapText="1"/>
    </xf>
    <xf numFmtId="0" fontId="64" fillId="0" borderId="0" xfId="0" applyFont="1" applyAlignment="1">
      <alignment wrapText="1"/>
    </xf>
    <xf numFmtId="2" fontId="7" fillId="19" borderId="1" xfId="0" applyNumberFormat="1" applyFont="1" applyFill="1" applyBorder="1" applyAlignment="1">
      <alignment horizontal="center" vertical="center"/>
    </xf>
    <xf numFmtId="0" fontId="0" fillId="10" borderId="1" xfId="0" applyFill="1" applyBorder="1" applyAlignment="1">
      <alignment horizontal="center" vertical="center"/>
    </xf>
    <xf numFmtId="0" fontId="64" fillId="10" borderId="1" xfId="0" applyFont="1" applyFill="1" applyBorder="1" applyAlignment="1">
      <alignment horizontal="center" vertical="center"/>
    </xf>
    <xf numFmtId="0" fontId="5" fillId="10" borderId="1" xfId="0" applyFont="1" applyFill="1" applyBorder="1" applyAlignment="1">
      <alignment horizontal="center" vertical="center"/>
    </xf>
    <xf numFmtId="0" fontId="24" fillId="0" borderId="1" xfId="0" applyFont="1" applyBorder="1" applyAlignment="1" applyProtection="1">
      <alignment horizontal="left" vertical="center" wrapText="1"/>
    </xf>
    <xf numFmtId="0" fontId="5" fillId="20" borderId="1" xfId="0" applyFont="1" applyFill="1" applyBorder="1"/>
    <xf numFmtId="0" fontId="5" fillId="20" borderId="1" xfId="0" applyFont="1" applyFill="1" applyBorder="1" applyAlignment="1">
      <alignment wrapText="1"/>
    </xf>
    <xf numFmtId="9" fontId="7" fillId="19" borderId="1" xfId="4" applyFont="1" applyFill="1" applyBorder="1" applyAlignment="1">
      <alignment horizontal="center" vertical="center"/>
    </xf>
    <xf numFmtId="0" fontId="7" fillId="19" borderId="1" xfId="5" applyNumberFormat="1" applyFont="1" applyFill="1" applyBorder="1" applyAlignment="1">
      <alignment horizontal="center" vertical="center"/>
    </xf>
    <xf numFmtId="0" fontId="92" fillId="0" borderId="0" xfId="0" applyFont="1" applyAlignment="1" applyProtection="1">
      <alignment horizontal="left" vertical="top" wrapText="1"/>
    </xf>
    <xf numFmtId="0" fontId="92" fillId="0" borderId="0" xfId="0" applyFont="1" applyAlignment="1" applyProtection="1">
      <alignment horizontal="left" vertical="top"/>
    </xf>
    <xf numFmtId="2" fontId="24" fillId="0" borderId="1" xfId="0" applyNumberFormat="1" applyFont="1" applyBorder="1" applyAlignment="1" applyProtection="1">
      <alignment horizontal="left" vertical="center" wrapText="1"/>
    </xf>
    <xf numFmtId="0" fontId="24" fillId="0" borderId="38" xfId="0" applyFont="1" applyBorder="1" applyAlignment="1" applyProtection="1">
      <alignment horizontal="left" vertical="center" wrapText="1"/>
    </xf>
    <xf numFmtId="0" fontId="55" fillId="9" borderId="0" xfId="8" applyFont="1" applyFill="1" applyBorder="1" applyAlignment="1" applyProtection="1">
      <alignment horizontal="right"/>
    </xf>
    <xf numFmtId="0" fontId="55" fillId="9" borderId="0" xfId="8" applyFont="1" applyFill="1" applyBorder="1" applyAlignment="1" applyProtection="1">
      <alignment horizontal="center"/>
    </xf>
    <xf numFmtId="0" fontId="87" fillId="25" borderId="1" xfId="0" applyFont="1" applyFill="1" applyBorder="1" applyAlignment="1" applyProtection="1">
      <alignment horizontal="center" vertical="center"/>
    </xf>
    <xf numFmtId="2" fontId="87" fillId="25" borderId="1" xfId="0" applyNumberFormat="1" applyFont="1" applyFill="1" applyBorder="1" applyAlignment="1" applyProtection="1">
      <alignment horizontal="center" vertical="center" wrapText="1"/>
    </xf>
    <xf numFmtId="0" fontId="87" fillId="25" borderId="1" xfId="0" applyFont="1" applyFill="1" applyBorder="1" applyAlignment="1" applyProtection="1">
      <alignment horizontal="center" vertical="center" wrapText="1"/>
    </xf>
    <xf numFmtId="9" fontId="87" fillId="25" borderId="1" xfId="4" applyFont="1" applyFill="1" applyBorder="1" applyAlignment="1" applyProtection="1">
      <alignment horizontal="center" vertical="center" wrapText="1"/>
    </xf>
    <xf numFmtId="2" fontId="87" fillId="25" borderId="1" xfId="0" applyNumberFormat="1" applyFont="1" applyFill="1" applyBorder="1" applyAlignment="1" applyProtection="1">
      <alignment horizontal="center" vertical="center"/>
    </xf>
    <xf numFmtId="9" fontId="87" fillId="25" borderId="1" xfId="4" applyFont="1" applyFill="1" applyBorder="1" applyAlignment="1" applyProtection="1">
      <alignment horizontal="center" vertical="center"/>
    </xf>
    <xf numFmtId="0" fontId="87" fillId="25" borderId="38" xfId="0" applyFont="1" applyFill="1" applyBorder="1" applyAlignment="1" applyProtection="1">
      <alignment horizontal="center" vertical="center"/>
    </xf>
    <xf numFmtId="0" fontId="14" fillId="20" borderId="1" xfId="0" applyFont="1" applyFill="1" applyBorder="1" applyAlignment="1">
      <alignment wrapText="1"/>
    </xf>
    <xf numFmtId="10" fontId="14" fillId="20" borderId="0" xfId="4" applyNumberFormat="1" applyFont="1" applyFill="1"/>
    <xf numFmtId="0" fontId="93" fillId="9" borderId="0" xfId="0" applyFont="1" applyFill="1" applyAlignment="1">
      <alignment wrapText="1"/>
    </xf>
    <xf numFmtId="0" fontId="14" fillId="0" borderId="0" xfId="0" applyFont="1" applyAlignment="1">
      <alignment wrapText="1"/>
    </xf>
    <xf numFmtId="0" fontId="92" fillId="0" borderId="1" xfId="0" applyFont="1" applyBorder="1" applyAlignment="1" applyProtection="1">
      <alignment horizontal="left" vertical="center" wrapText="1"/>
    </xf>
    <xf numFmtId="0" fontId="14" fillId="10" borderId="1" xfId="0" applyFont="1" applyFill="1" applyBorder="1" applyAlignment="1">
      <alignment horizontal="center" vertical="center"/>
    </xf>
    <xf numFmtId="2" fontId="95" fillId="25" borderId="1" xfId="0" applyNumberFormat="1" applyFont="1" applyFill="1" applyBorder="1" applyAlignment="1" applyProtection="1">
      <alignment horizontal="center" vertical="center" wrapText="1"/>
    </xf>
    <xf numFmtId="0" fontId="95" fillId="25" borderId="1" xfId="0" applyFont="1" applyFill="1" applyBorder="1" applyAlignment="1" applyProtection="1">
      <alignment horizontal="center" vertical="center" wrapText="1"/>
    </xf>
    <xf numFmtId="9" fontId="95" fillId="25" borderId="1" xfId="4" applyFont="1" applyFill="1" applyBorder="1" applyAlignment="1" applyProtection="1">
      <alignment horizontal="center" vertical="center" wrapText="1"/>
    </xf>
    <xf numFmtId="1" fontId="94" fillId="19" borderId="1" xfId="0" applyNumberFormat="1" applyFont="1" applyFill="1" applyBorder="1" applyAlignment="1">
      <alignment horizontal="center" vertical="center" wrapText="1"/>
    </xf>
    <xf numFmtId="43" fontId="95" fillId="25" borderId="1" xfId="5" applyFont="1" applyFill="1" applyBorder="1" applyAlignment="1" applyProtection="1">
      <alignment horizontal="center" vertical="center" wrapText="1"/>
    </xf>
    <xf numFmtId="0" fontId="14" fillId="10" borderId="1" xfId="0" applyFont="1" applyFill="1" applyBorder="1" applyAlignment="1">
      <alignment horizontal="center" vertical="center" wrapText="1"/>
    </xf>
    <xf numFmtId="2" fontId="94" fillId="19" borderId="1" xfId="0" applyNumberFormat="1" applyFont="1" applyFill="1" applyBorder="1" applyAlignment="1">
      <alignment horizontal="center" vertical="center" wrapText="1"/>
    </xf>
    <xf numFmtId="0" fontId="94" fillId="19" borderId="1" xfId="0" applyFont="1" applyFill="1" applyBorder="1" applyAlignment="1">
      <alignment horizontal="center" vertical="center" wrapText="1"/>
    </xf>
    <xf numFmtId="164" fontId="94" fillId="19" borderId="1" xfId="0" applyNumberFormat="1" applyFont="1" applyFill="1" applyBorder="1" applyAlignment="1">
      <alignment horizontal="center" vertical="center" wrapText="1"/>
    </xf>
    <xf numFmtId="9" fontId="94" fillId="19" borderId="1" xfId="4" applyFont="1" applyFill="1" applyBorder="1" applyAlignment="1">
      <alignment horizontal="center" vertical="center" wrapText="1"/>
    </xf>
    <xf numFmtId="43" fontId="94" fillId="19" borderId="1" xfId="5" applyFont="1" applyFill="1" applyBorder="1" applyAlignment="1">
      <alignment horizontal="center" vertical="center" wrapText="1"/>
    </xf>
    <xf numFmtId="43" fontId="0" fillId="0" borderId="0" xfId="0" applyNumberFormat="1"/>
    <xf numFmtId="172" fontId="0" fillId="0" borderId="0" xfId="0" applyNumberFormat="1"/>
    <xf numFmtId="9" fontId="0" fillId="0" borderId="0" xfId="0" applyNumberFormat="1" applyAlignment="1">
      <alignment horizontal="right"/>
    </xf>
    <xf numFmtId="0" fontId="2" fillId="0" borderId="0" xfId="10" applyFont="1"/>
    <xf numFmtId="0" fontId="24" fillId="0" borderId="0" xfId="0" applyFont="1" applyFill="1" applyAlignment="1" applyProtection="1">
      <alignment horizontal="left" wrapText="1"/>
    </xf>
    <xf numFmtId="0" fontId="7" fillId="19" borderId="1" xfId="0" applyNumberFormat="1" applyFont="1" applyFill="1" applyBorder="1" applyAlignment="1">
      <alignment horizontal="center" vertical="center"/>
    </xf>
    <xf numFmtId="0" fontId="0" fillId="10" borderId="1" xfId="0" applyNumberFormat="1" applyFill="1" applyBorder="1" applyAlignment="1">
      <alignment horizontal="center" vertical="center"/>
    </xf>
    <xf numFmtId="0" fontId="87" fillId="25" borderId="1" xfId="0" applyNumberFormat="1" applyFont="1" applyFill="1" applyBorder="1" applyAlignment="1" applyProtection="1">
      <alignment horizontal="center" vertical="center"/>
    </xf>
    <xf numFmtId="0" fontId="64" fillId="10" borderId="1" xfId="0" applyNumberFormat="1" applyFont="1" applyFill="1" applyBorder="1" applyAlignment="1">
      <alignment horizontal="center" vertical="center"/>
    </xf>
    <xf numFmtId="0" fontId="5" fillId="10" borderId="1" xfId="0" applyNumberFormat="1" applyFont="1" applyFill="1" applyBorder="1" applyAlignment="1">
      <alignment horizontal="center" vertical="center"/>
    </xf>
    <xf numFmtId="11" fontId="7" fillId="19" borderId="1" xfId="0" applyNumberFormat="1" applyFont="1" applyFill="1" applyBorder="1" applyAlignment="1">
      <alignment horizontal="center" vertical="center"/>
    </xf>
    <xf numFmtId="11" fontId="7" fillId="19" borderId="1" xfId="0" applyNumberFormat="1" applyFont="1" applyFill="1" applyBorder="1" applyAlignment="1">
      <alignment horizontal="center" vertical="center" wrapText="1"/>
    </xf>
    <xf numFmtId="0" fontId="88" fillId="22" borderId="7" xfId="0" applyFont="1" applyFill="1" applyBorder="1" applyAlignment="1" applyProtection="1">
      <alignment horizontal="left" wrapText="1"/>
    </xf>
    <xf numFmtId="0" fontId="96" fillId="10" borderId="1" xfId="10" applyFont="1" applyFill="1" applyBorder="1" applyAlignment="1">
      <alignment vertical="top"/>
    </xf>
    <xf numFmtId="0" fontId="96" fillId="10" borderId="37" xfId="10" applyFont="1" applyFill="1" applyBorder="1" applyAlignment="1">
      <alignment vertical="top"/>
    </xf>
    <xf numFmtId="0" fontId="4" fillId="19" borderId="12" xfId="10" applyFill="1" applyBorder="1"/>
    <xf numFmtId="0" fontId="4" fillId="0" borderId="26" xfId="10" applyBorder="1" applyAlignment="1">
      <alignment horizontal="center"/>
    </xf>
    <xf numFmtId="0" fontId="4" fillId="0" borderId="30" xfId="10" applyBorder="1" applyAlignment="1">
      <alignment horizontal="center"/>
    </xf>
    <xf numFmtId="0" fontId="4" fillId="0" borderId="25" xfId="10" applyBorder="1" applyAlignment="1">
      <alignment horizontal="center"/>
    </xf>
    <xf numFmtId="0" fontId="7" fillId="19" borderId="1" xfId="0" applyNumberFormat="1" applyFont="1" applyFill="1" applyBorder="1" applyAlignment="1">
      <alignment horizontal="center" vertical="center" wrapText="1"/>
    </xf>
    <xf numFmtId="0" fontId="0" fillId="10" borderId="1" xfId="0" applyNumberFormat="1" applyFill="1" applyBorder="1" applyAlignment="1">
      <alignment horizontal="center" vertical="center" wrapText="1"/>
    </xf>
    <xf numFmtId="0" fontId="87" fillId="25" borderId="1" xfId="0" applyNumberFormat="1" applyFont="1" applyFill="1" applyBorder="1" applyAlignment="1" applyProtection="1">
      <alignment horizontal="center" vertical="center" wrapText="1"/>
    </xf>
    <xf numFmtId="0" fontId="64" fillId="10" borderId="1" xfId="0" applyNumberFormat="1" applyFont="1" applyFill="1" applyBorder="1" applyAlignment="1">
      <alignment horizontal="center" vertical="center" wrapText="1"/>
    </xf>
    <xf numFmtId="0" fontId="5" fillId="10" borderId="1" xfId="0" applyNumberFormat="1" applyFont="1" applyFill="1" applyBorder="1" applyAlignment="1">
      <alignment horizontal="center" vertical="center" wrapText="1"/>
    </xf>
    <xf numFmtId="0" fontId="4" fillId="19" borderId="0" xfId="10" applyFill="1" applyAlignment="1">
      <alignment wrapText="1"/>
    </xf>
    <xf numFmtId="0" fontId="5" fillId="20" borderId="24" xfId="0" applyFont="1" applyFill="1" applyBorder="1" applyAlignment="1">
      <alignment wrapText="1"/>
    </xf>
    <xf numFmtId="0" fontId="5" fillId="20" borderId="81" xfId="0" applyFont="1" applyFill="1" applyBorder="1" applyAlignment="1">
      <alignment wrapText="1"/>
    </xf>
    <xf numFmtId="10" fontId="0" fillId="20" borderId="8" xfId="4" applyNumberFormat="1" applyFont="1" applyFill="1" applyBorder="1"/>
    <xf numFmtId="0" fontId="0" fillId="20" borderId="58" xfId="0" applyFill="1" applyBorder="1"/>
    <xf numFmtId="0" fontId="70" fillId="8" borderId="15" xfId="10" applyFont="1" applyFill="1" applyBorder="1" applyAlignment="1">
      <alignment horizontal="center" vertical="top" wrapText="1"/>
    </xf>
    <xf numFmtId="0" fontId="70" fillId="8" borderId="10" xfId="10" applyFont="1" applyFill="1" applyBorder="1" applyAlignment="1">
      <alignment horizontal="center" vertical="top" wrapText="1"/>
    </xf>
    <xf numFmtId="0" fontId="70" fillId="8" borderId="10" xfId="10" applyFont="1" applyFill="1" applyBorder="1" applyAlignment="1">
      <alignment vertical="top" wrapText="1"/>
    </xf>
    <xf numFmtId="0" fontId="70" fillId="8" borderId="21" xfId="10" applyFont="1" applyFill="1" applyBorder="1" applyAlignment="1">
      <alignment horizontal="center" vertical="top" wrapText="1"/>
    </xf>
    <xf numFmtId="0" fontId="4" fillId="8" borderId="1" xfId="10" applyFill="1" applyBorder="1" applyAlignment="1">
      <alignment horizontal="center" wrapText="1"/>
    </xf>
    <xf numFmtId="0" fontId="87" fillId="25" borderId="1" xfId="5" applyNumberFormat="1" applyFont="1" applyFill="1" applyBorder="1" applyAlignment="1" applyProtection="1">
      <alignment horizontal="center" vertical="center"/>
    </xf>
    <xf numFmtId="9" fontId="7" fillId="19" borderId="1" xfId="5" applyNumberFormat="1" applyFont="1" applyFill="1" applyBorder="1" applyAlignment="1">
      <alignment horizontal="center" vertical="center"/>
    </xf>
    <xf numFmtId="2" fontId="7" fillId="19" borderId="1" xfId="5" applyNumberFormat="1" applyFont="1" applyFill="1" applyBorder="1" applyAlignment="1">
      <alignment horizontal="center" vertical="center"/>
    </xf>
    <xf numFmtId="1" fontId="7" fillId="19" borderId="1" xfId="5" applyNumberFormat="1" applyFont="1" applyFill="1" applyBorder="1" applyAlignment="1">
      <alignment horizontal="center" vertical="center"/>
    </xf>
    <xf numFmtId="1" fontId="87" fillId="25" borderId="1" xfId="4" applyNumberFormat="1" applyFont="1" applyFill="1" applyBorder="1" applyAlignment="1" applyProtection="1">
      <alignment horizontal="center" vertical="center"/>
    </xf>
    <xf numFmtId="2" fontId="87" fillId="25" borderId="1" xfId="5" applyNumberFormat="1" applyFont="1" applyFill="1" applyBorder="1" applyAlignment="1" applyProtection="1">
      <alignment horizontal="center" vertical="center"/>
    </xf>
    <xf numFmtId="0" fontId="24" fillId="0" borderId="0" xfId="0" applyFont="1" applyFill="1" applyAlignment="1" applyProtection="1">
      <alignment horizontal="left" wrapText="1"/>
    </xf>
    <xf numFmtId="1" fontId="94" fillId="19" borderId="1" xfId="5" applyNumberFormat="1" applyFont="1" applyFill="1" applyBorder="1" applyAlignment="1">
      <alignment horizontal="center" vertical="center" wrapText="1"/>
    </xf>
    <xf numFmtId="1" fontId="97" fillId="25" borderId="1" xfId="4" applyNumberFormat="1" applyFont="1" applyFill="1" applyBorder="1" applyAlignment="1" applyProtection="1">
      <alignment horizontal="center" vertical="center" wrapText="1"/>
    </xf>
    <xf numFmtId="0" fontId="87" fillId="25" borderId="1" xfId="5" applyNumberFormat="1" applyFont="1" applyFill="1" applyBorder="1" applyAlignment="1" applyProtection="1">
      <alignment horizontal="center" vertical="center" wrapText="1"/>
    </xf>
    <xf numFmtId="0" fontId="64" fillId="10" borderId="1" xfId="0" applyFont="1" applyFill="1" applyBorder="1" applyAlignment="1">
      <alignment horizontal="center" vertical="center" wrapText="1"/>
    </xf>
    <xf numFmtId="0" fontId="7" fillId="19" borderId="1" xfId="5" applyNumberFormat="1" applyFont="1" applyFill="1" applyBorder="1" applyAlignment="1">
      <alignment horizontal="center" vertical="center" wrapText="1"/>
    </xf>
    <xf numFmtId="0" fontId="98" fillId="0" borderId="0" xfId="0" applyFont="1"/>
    <xf numFmtId="0" fontId="99" fillId="0" borderId="0" xfId="0" applyFont="1"/>
    <xf numFmtId="10" fontId="100" fillId="10" borderId="1" xfId="4" applyNumberFormat="1" applyFont="1" applyFill="1" applyBorder="1" applyAlignment="1" applyProtection="1">
      <alignment horizontal="center" wrapText="1"/>
    </xf>
    <xf numFmtId="43" fontId="100" fillId="10" borderId="1" xfId="5" applyFont="1" applyFill="1" applyBorder="1" applyAlignment="1" applyProtection="1">
      <alignment horizontal="center" wrapText="1"/>
    </xf>
    <xf numFmtId="2" fontId="100" fillId="10" borderId="1" xfId="0" applyNumberFormat="1" applyFont="1" applyFill="1" applyBorder="1" applyAlignment="1" applyProtection="1">
      <alignment horizontal="center" wrapText="1"/>
    </xf>
    <xf numFmtId="167" fontId="100" fillId="10" borderId="1" xfId="4" applyNumberFormat="1" applyFont="1" applyFill="1" applyBorder="1" applyAlignment="1" applyProtection="1">
      <alignment horizontal="center" wrapText="1"/>
    </xf>
    <xf numFmtId="0" fontId="100" fillId="10" borderId="1" xfId="5" applyNumberFormat="1" applyFont="1" applyFill="1" applyBorder="1" applyAlignment="1" applyProtection="1">
      <alignment horizontal="center" wrapText="1"/>
    </xf>
    <xf numFmtId="167" fontId="100" fillId="10" borderId="1" xfId="4" applyNumberFormat="1" applyFont="1" applyFill="1" applyBorder="1" applyAlignment="1" applyProtection="1">
      <alignment wrapText="1"/>
    </xf>
    <xf numFmtId="0" fontId="26" fillId="0" borderId="15" xfId="0" applyFont="1" applyBorder="1" applyAlignment="1" applyProtection="1">
      <alignment wrapText="1"/>
    </xf>
    <xf numFmtId="0" fontId="25" fillId="0" borderId="37" xfId="6" applyFont="1" applyFill="1" applyBorder="1" applyAlignment="1" applyProtection="1">
      <alignment vertical="center" wrapText="1"/>
    </xf>
    <xf numFmtId="2" fontId="25" fillId="10" borderId="37" xfId="6" applyNumberFormat="1" applyFont="1" applyFill="1" applyBorder="1" applyAlignment="1" applyProtection="1">
      <alignment horizontal="center" vertical="center" wrapText="1"/>
    </xf>
    <xf numFmtId="0" fontId="25" fillId="0" borderId="1" xfId="6" applyFont="1" applyFill="1" applyBorder="1" applyAlignment="1" applyProtection="1">
      <alignment vertical="center" wrapText="1"/>
    </xf>
    <xf numFmtId="1" fontId="25" fillId="4" borderId="1" xfId="6" applyNumberFormat="1" applyFont="1" applyFill="1" applyBorder="1" applyAlignment="1" applyProtection="1">
      <alignment horizontal="center" vertical="center" wrapText="1"/>
    </xf>
    <xf numFmtId="0" fontId="25" fillId="10" borderId="1" xfId="6" applyFont="1" applyFill="1" applyBorder="1" applyAlignment="1" applyProtection="1">
      <alignment horizontal="center" vertical="center" wrapText="1"/>
    </xf>
    <xf numFmtId="9" fontId="25" fillId="10" borderId="1" xfId="4" applyFont="1" applyFill="1" applyBorder="1" applyAlignment="1" applyProtection="1">
      <alignment horizontal="center" vertical="center" wrapText="1"/>
    </xf>
    <xf numFmtId="2" fontId="25" fillId="10" borderId="1" xfId="6" applyNumberFormat="1" applyFont="1" applyFill="1" applyBorder="1" applyAlignment="1" applyProtection="1">
      <alignment horizontal="center" vertical="center" wrapText="1"/>
    </xf>
    <xf numFmtId="0" fontId="25" fillId="0" borderId="38" xfId="6" applyFont="1" applyFill="1" applyBorder="1" applyAlignment="1" applyProtection="1">
      <alignment vertical="center" wrapText="1"/>
    </xf>
    <xf numFmtId="2" fontId="24" fillId="11" borderId="16" xfId="0" applyNumberFormat="1" applyFont="1" applyFill="1" applyBorder="1" applyAlignment="1" applyProtection="1">
      <alignment horizontal="center" vertical="center"/>
      <protection locked="0"/>
    </xf>
    <xf numFmtId="0" fontId="10" fillId="6" borderId="0" xfId="0" applyFont="1" applyFill="1" applyAlignment="1" applyProtection="1">
      <alignment horizontal="left" vertical="center"/>
    </xf>
    <xf numFmtId="11" fontId="25" fillId="11" borderId="37" xfId="6" applyNumberFormat="1" applyFont="1" applyFill="1" applyBorder="1" applyAlignment="1" applyProtection="1">
      <alignment horizontal="center" vertical="center" wrapText="1"/>
      <protection locked="0"/>
    </xf>
    <xf numFmtId="0" fontId="25" fillId="11" borderId="1" xfId="6" applyFont="1" applyFill="1" applyBorder="1" applyAlignment="1" applyProtection="1">
      <alignment horizontal="center" vertical="center" wrapText="1"/>
      <protection locked="0"/>
    </xf>
    <xf numFmtId="2" fontId="25" fillId="11" borderId="1" xfId="6" applyNumberFormat="1" applyFont="1" applyFill="1" applyBorder="1" applyAlignment="1" applyProtection="1">
      <alignment horizontal="center" vertical="center" wrapText="1"/>
      <protection locked="0"/>
    </xf>
    <xf numFmtId="0" fontId="25" fillId="0" borderId="1" xfId="9" applyFont="1" applyFill="1" applyBorder="1" applyAlignment="1" applyProtection="1">
      <alignment vertical="center"/>
      <protection hidden="1"/>
    </xf>
    <xf numFmtId="0" fontId="24" fillId="0" borderId="1" xfId="0" applyFont="1" applyBorder="1" applyAlignment="1" applyProtection="1">
      <alignment vertical="center"/>
    </xf>
    <xf numFmtId="2" fontId="24" fillId="10" borderId="37" xfId="0" applyNumberFormat="1" applyFont="1" applyFill="1" applyBorder="1" applyAlignment="1" applyProtection="1">
      <alignment horizontal="center" vertical="center"/>
    </xf>
    <xf numFmtId="0" fontId="24" fillId="0" borderId="1" xfId="0" applyFont="1" applyFill="1" applyBorder="1" applyAlignment="1" applyProtection="1">
      <alignment vertical="center"/>
    </xf>
    <xf numFmtId="0" fontId="24" fillId="14" borderId="1" xfId="0" applyFont="1" applyFill="1" applyBorder="1" applyAlignment="1" applyProtection="1">
      <alignment horizontal="center" vertical="center"/>
    </xf>
    <xf numFmtId="0" fontId="24" fillId="0" borderId="38" xfId="0" applyFont="1" applyFill="1" applyBorder="1" applyAlignment="1" applyProtection="1">
      <alignment vertical="center"/>
    </xf>
    <xf numFmtId="2" fontId="24" fillId="10" borderId="38" xfId="0" applyNumberFormat="1" applyFont="1" applyFill="1" applyBorder="1" applyAlignment="1" applyProtection="1">
      <alignment horizontal="center" vertical="center"/>
      <protection locked="0"/>
    </xf>
    <xf numFmtId="0" fontId="24" fillId="0" borderId="37" xfId="0" applyFont="1" applyBorder="1" applyAlignment="1" applyProtection="1">
      <alignment vertical="center"/>
    </xf>
    <xf numFmtId="0" fontId="24" fillId="4" borderId="37" xfId="6" applyFont="1" applyFill="1" applyBorder="1" applyAlignment="1" applyProtection="1">
      <alignment horizontal="center" vertical="center" wrapText="1"/>
    </xf>
    <xf numFmtId="0" fontId="24" fillId="0" borderId="1" xfId="0" applyFont="1" applyFill="1" applyBorder="1" applyAlignment="1" applyProtection="1">
      <alignment vertical="center" wrapText="1"/>
    </xf>
    <xf numFmtId="0" fontId="24" fillId="11" borderId="1" xfId="0" applyFont="1" applyFill="1" applyBorder="1" applyAlignment="1" applyProtection="1">
      <alignment horizontal="center" vertical="center"/>
      <protection locked="0"/>
    </xf>
    <xf numFmtId="0" fontId="24" fillId="4" borderId="1" xfId="0" applyFont="1" applyFill="1" applyBorder="1" applyAlignment="1" applyProtection="1">
      <alignment horizontal="center" vertical="center"/>
    </xf>
    <xf numFmtId="2" fontId="24" fillId="10" borderId="1" xfId="0" applyNumberFormat="1" applyFont="1" applyFill="1" applyBorder="1" applyAlignment="1" applyProtection="1">
      <alignment horizontal="center" vertical="center"/>
      <protection locked="0"/>
    </xf>
    <xf numFmtId="2" fontId="24" fillId="11" borderId="1" xfId="0" applyNumberFormat="1" applyFont="1" applyFill="1" applyBorder="1" applyAlignment="1" applyProtection="1">
      <alignment horizontal="center" vertical="center"/>
      <protection locked="0"/>
    </xf>
    <xf numFmtId="2" fontId="24" fillId="4" borderId="1" xfId="0" applyNumberFormat="1" applyFont="1" applyFill="1" applyBorder="1" applyAlignment="1" applyProtection="1">
      <alignment horizontal="center" vertical="center"/>
    </xf>
    <xf numFmtId="9" fontId="24" fillId="11" borderId="1" xfId="4" applyFont="1" applyFill="1" applyBorder="1" applyAlignment="1" applyProtection="1">
      <alignment horizontal="center" vertical="center"/>
      <protection locked="0"/>
    </xf>
    <xf numFmtId="0" fontId="24" fillId="0" borderId="1" xfId="0" applyFont="1" applyFill="1" applyBorder="1" applyAlignment="1" applyProtection="1">
      <alignment horizontal="right" vertical="center"/>
    </xf>
    <xf numFmtId="0" fontId="24" fillId="0" borderId="48" xfId="0" applyFont="1" applyFill="1" applyBorder="1" applyAlignment="1" applyProtection="1">
      <alignment horizontal="center" vertical="center"/>
      <protection hidden="1"/>
    </xf>
    <xf numFmtId="0" fontId="24" fillId="0" borderId="49" xfId="0" applyFont="1" applyFill="1" applyBorder="1" applyAlignment="1" applyProtection="1">
      <alignment horizontal="center" vertical="center"/>
      <protection hidden="1"/>
    </xf>
    <xf numFmtId="0" fontId="24" fillId="0" borderId="50" xfId="0" applyFont="1" applyFill="1" applyBorder="1" applyAlignment="1" applyProtection="1">
      <alignment horizontal="center" vertical="center"/>
      <protection hidden="1"/>
    </xf>
    <xf numFmtId="2" fontId="24" fillId="11" borderId="25" xfId="0" applyNumberFormat="1" applyFont="1" applyFill="1" applyBorder="1" applyAlignment="1" applyProtection="1">
      <alignment vertical="center"/>
      <protection locked="0"/>
    </xf>
    <xf numFmtId="0" fontId="24" fillId="0" borderId="18" xfId="0" applyFont="1" applyFill="1" applyBorder="1" applyAlignment="1" applyProtection="1">
      <alignment horizontal="center" vertical="center"/>
      <protection hidden="1"/>
    </xf>
    <xf numFmtId="0" fontId="24" fillId="0" borderId="19" xfId="0" applyFont="1" applyFill="1" applyBorder="1" applyAlignment="1" applyProtection="1">
      <alignment horizontal="center" vertical="center"/>
      <protection hidden="1"/>
    </xf>
    <xf numFmtId="2" fontId="24" fillId="11" borderId="17" xfId="0" applyNumberFormat="1" applyFont="1" applyFill="1" applyBorder="1" applyAlignment="1" applyProtection="1">
      <alignment vertical="center"/>
      <protection locked="0"/>
    </xf>
    <xf numFmtId="0" fontId="24" fillId="0" borderId="34" xfId="0" applyFont="1" applyFill="1" applyBorder="1" applyAlignment="1" applyProtection="1">
      <alignment horizontal="center" vertical="center"/>
      <protection hidden="1"/>
    </xf>
    <xf numFmtId="0" fontId="24" fillId="0" borderId="22" xfId="0" applyFont="1" applyFill="1" applyBorder="1" applyAlignment="1" applyProtection="1">
      <alignment horizontal="center" vertical="center"/>
      <protection hidden="1"/>
    </xf>
    <xf numFmtId="0" fontId="24" fillId="0" borderId="32" xfId="0" applyFont="1" applyFill="1" applyBorder="1" applyAlignment="1" applyProtection="1">
      <alignment horizontal="center" vertical="center"/>
      <protection hidden="1"/>
    </xf>
    <xf numFmtId="0" fontId="24" fillId="0" borderId="15" xfId="0" applyFont="1" applyFill="1" applyBorder="1" applyAlignment="1" applyProtection="1">
      <alignment vertical="center"/>
      <protection hidden="1"/>
    </xf>
    <xf numFmtId="0" fontId="24" fillId="0" borderId="29" xfId="0" applyFont="1" applyFill="1" applyBorder="1" applyAlignment="1" applyProtection="1">
      <alignment vertical="center"/>
      <protection hidden="1"/>
    </xf>
    <xf numFmtId="0" fontId="24" fillId="0" borderId="15" xfId="0" applyFont="1" applyFill="1" applyBorder="1" applyAlignment="1" applyProtection="1">
      <alignment horizontal="center" vertical="center"/>
      <protection hidden="1"/>
    </xf>
    <xf numFmtId="0" fontId="24" fillId="0" borderId="10" xfId="0" applyFont="1" applyFill="1" applyBorder="1" applyAlignment="1" applyProtection="1">
      <alignment horizontal="center" vertical="center"/>
      <protection hidden="1"/>
    </xf>
    <xf numFmtId="0" fontId="24" fillId="0" borderId="21" xfId="0" applyFont="1" applyFill="1" applyBorder="1" applyAlignment="1" applyProtection="1">
      <alignment horizontal="center" vertical="center"/>
      <protection hidden="1"/>
    </xf>
    <xf numFmtId="0" fontId="24" fillId="0" borderId="16" xfId="0" applyFont="1" applyFill="1" applyBorder="1" applyAlignment="1" applyProtection="1">
      <alignment horizontal="center" vertical="center"/>
      <protection hidden="1"/>
    </xf>
    <xf numFmtId="0" fontId="24" fillId="0" borderId="1" xfId="0" applyFont="1" applyFill="1" applyBorder="1" applyAlignment="1" applyProtection="1">
      <alignment horizontal="center" vertical="center"/>
      <protection hidden="1"/>
    </xf>
    <xf numFmtId="0" fontId="24" fillId="0" borderId="17" xfId="0" applyFont="1" applyFill="1" applyBorder="1" applyAlignment="1" applyProtection="1">
      <alignment horizontal="center" vertical="center"/>
      <protection hidden="1"/>
    </xf>
    <xf numFmtId="2" fontId="24" fillId="11" borderId="26" xfId="0" applyNumberFormat="1" applyFont="1" applyFill="1" applyBorder="1" applyAlignment="1" applyProtection="1">
      <alignment horizontal="center" vertical="center"/>
      <protection locked="0"/>
    </xf>
    <xf numFmtId="2" fontId="24" fillId="11" borderId="30" xfId="0" applyNumberFormat="1" applyFont="1" applyFill="1" applyBorder="1" applyAlignment="1" applyProtection="1">
      <alignment horizontal="center" vertical="center"/>
      <protection locked="0"/>
    </xf>
    <xf numFmtId="2" fontId="24" fillId="11" borderId="25" xfId="0" applyNumberFormat="1" applyFont="1" applyFill="1" applyBorder="1" applyAlignment="1" applyProtection="1">
      <alignment horizontal="center" vertical="center"/>
      <protection locked="0"/>
    </xf>
    <xf numFmtId="2" fontId="24" fillId="11" borderId="17" xfId="0" applyNumberFormat="1" applyFont="1" applyFill="1" applyBorder="1" applyAlignment="1" applyProtection="1">
      <alignment horizontal="center" vertical="center"/>
      <protection locked="0"/>
    </xf>
    <xf numFmtId="0" fontId="24" fillId="0" borderId="0" xfId="0" applyFont="1" applyAlignment="1" applyProtection="1">
      <alignment vertical="center"/>
    </xf>
    <xf numFmtId="0" fontId="29" fillId="0" borderId="0" xfId="0" applyFont="1" applyAlignment="1" applyProtection="1">
      <alignment vertical="center"/>
    </xf>
    <xf numFmtId="0" fontId="24" fillId="0" borderId="35" xfId="8" applyFont="1" applyFill="1" applyBorder="1" applyAlignment="1" applyProtection="1">
      <alignment horizontal="center" vertical="center" wrapText="1"/>
      <protection locked="0"/>
    </xf>
    <xf numFmtId="0" fontId="24" fillId="0" borderId="42" xfId="8" applyFont="1" applyFill="1" applyBorder="1" applyAlignment="1" applyProtection="1">
      <alignment horizontal="center" vertical="center" wrapText="1"/>
      <protection locked="0"/>
    </xf>
    <xf numFmtId="9" fontId="24" fillId="10" borderId="12" xfId="4" applyNumberFormat="1" applyFont="1" applyFill="1" applyBorder="1" applyAlignment="1" applyProtection="1">
      <alignment horizontal="center" vertical="center"/>
    </xf>
    <xf numFmtId="2" fontId="24" fillId="10" borderId="14" xfId="0" applyNumberFormat="1" applyFont="1" applyFill="1" applyBorder="1" applyAlignment="1" applyProtection="1">
      <alignment horizontal="center" vertical="center"/>
    </xf>
    <xf numFmtId="0" fontId="24" fillId="0" borderId="15" xfId="0" applyFont="1" applyFill="1" applyBorder="1" applyAlignment="1" applyProtection="1">
      <alignment vertical="center" wrapText="1"/>
      <protection hidden="1"/>
    </xf>
    <xf numFmtId="0" fontId="24" fillId="0" borderId="16" xfId="0" applyFont="1" applyFill="1" applyBorder="1" applyAlignment="1" applyProtection="1">
      <alignment horizontal="left" vertical="center" wrapText="1"/>
      <protection hidden="1"/>
    </xf>
    <xf numFmtId="0" fontId="24" fillId="11" borderId="17" xfId="0" applyFont="1" applyFill="1" applyBorder="1" applyAlignment="1" applyProtection="1">
      <alignment horizontal="right" vertical="center"/>
      <protection locked="0" hidden="1"/>
    </xf>
    <xf numFmtId="0" fontId="24" fillId="0" borderId="0" xfId="0" applyFont="1" applyAlignment="1" applyProtection="1">
      <alignment vertical="center" wrapText="1"/>
    </xf>
    <xf numFmtId="0" fontId="24" fillId="0" borderId="28" xfId="0" applyFont="1" applyFill="1" applyBorder="1" applyAlignment="1" applyProtection="1">
      <alignment horizontal="left" vertical="center" wrapText="1"/>
      <protection hidden="1"/>
    </xf>
    <xf numFmtId="0" fontId="24" fillId="0" borderId="26" xfId="0" applyFont="1" applyFill="1" applyBorder="1" applyAlignment="1" applyProtection="1">
      <alignment horizontal="left" vertical="center" wrapText="1"/>
      <protection hidden="1"/>
    </xf>
    <xf numFmtId="0" fontId="24" fillId="11" borderId="25" xfId="0" applyFont="1" applyFill="1" applyBorder="1" applyAlignment="1" applyProtection="1">
      <alignment horizontal="right" vertical="center"/>
      <protection locked="0" hidden="1"/>
    </xf>
    <xf numFmtId="0" fontId="25" fillId="11" borderId="21" xfId="6" applyFont="1" applyFill="1" applyBorder="1" applyAlignment="1" applyProtection="1">
      <alignment horizontal="center" vertical="center" wrapText="1"/>
      <protection locked="0"/>
    </xf>
    <xf numFmtId="0" fontId="24" fillId="0" borderId="0" xfId="0" applyFont="1" applyAlignment="1" applyProtection="1">
      <alignment horizontal="center" vertical="center"/>
    </xf>
    <xf numFmtId="0" fontId="24" fillId="11" borderId="17" xfId="0" applyFont="1" applyFill="1" applyBorder="1" applyAlignment="1" applyProtection="1">
      <alignment horizontal="center" vertical="center"/>
      <protection locked="0" hidden="1"/>
    </xf>
    <xf numFmtId="0" fontId="24" fillId="10" borderId="17" xfId="0" applyFont="1" applyFill="1" applyBorder="1" applyAlignment="1" applyProtection="1">
      <alignment horizontal="center" vertical="center"/>
      <protection hidden="1"/>
    </xf>
    <xf numFmtId="0" fontId="24" fillId="0" borderId="0" xfId="0" applyFont="1" applyAlignment="1" applyProtection="1">
      <alignment horizontal="center" vertical="center" wrapText="1"/>
    </xf>
    <xf numFmtId="0" fontId="29" fillId="0" borderId="0" xfId="0" applyFont="1" applyAlignment="1" applyProtection="1">
      <alignment horizontal="center" vertical="center"/>
    </xf>
    <xf numFmtId="0" fontId="24" fillId="4" borderId="17" xfId="0" applyFont="1" applyFill="1" applyBorder="1" applyAlignment="1" applyProtection="1">
      <alignment horizontal="center" vertical="center"/>
      <protection hidden="1"/>
    </xf>
    <xf numFmtId="0" fontId="24" fillId="11" borderId="27" xfId="0" applyFont="1" applyFill="1" applyBorder="1" applyAlignment="1" applyProtection="1">
      <alignment horizontal="center" vertical="center"/>
      <protection locked="0" hidden="1"/>
    </xf>
    <xf numFmtId="0" fontId="24" fillId="11" borderId="25" xfId="0" applyFont="1" applyFill="1" applyBorder="1" applyAlignment="1" applyProtection="1">
      <alignment horizontal="center" vertical="center"/>
      <protection locked="0" hidden="1"/>
    </xf>
    <xf numFmtId="0" fontId="24" fillId="7" borderId="1" xfId="0" applyFont="1" applyFill="1" applyBorder="1" applyAlignment="1" applyProtection="1">
      <alignment horizontal="center" vertical="center"/>
    </xf>
    <xf numFmtId="1" fontId="24" fillId="10" borderId="1" xfId="0" applyNumberFormat="1" applyFont="1" applyFill="1" applyBorder="1" applyAlignment="1" applyProtection="1">
      <alignment horizontal="center" vertical="center"/>
      <protection locked="0"/>
    </xf>
    <xf numFmtId="0" fontId="24" fillId="0" borderId="15" xfId="0" applyFont="1" applyFill="1" applyBorder="1" applyAlignment="1" applyProtection="1">
      <alignment horizontal="left" vertical="center" wrapText="1"/>
      <protection hidden="1"/>
    </xf>
    <xf numFmtId="2" fontId="24" fillId="11" borderId="21" xfId="0" applyNumberFormat="1" applyFont="1" applyFill="1" applyBorder="1" applyAlignment="1" applyProtection="1">
      <alignment vertical="center"/>
      <protection locked="0"/>
    </xf>
    <xf numFmtId="0" fontId="28" fillId="0" borderId="0" xfId="0" applyFont="1" applyAlignment="1" applyProtection="1">
      <alignment vertical="center"/>
    </xf>
    <xf numFmtId="0" fontId="24" fillId="11" borderId="21" xfId="0" applyFont="1" applyFill="1" applyBorder="1" applyAlignment="1" applyProtection="1">
      <alignment horizontal="right" vertical="center"/>
      <protection locked="0" hidden="1"/>
    </xf>
    <xf numFmtId="0" fontId="24" fillId="0" borderId="15" xfId="0" applyFont="1" applyBorder="1" applyAlignment="1" applyProtection="1">
      <alignment vertical="center"/>
    </xf>
    <xf numFmtId="9" fontId="24" fillId="4" borderId="21" xfId="4" applyFont="1" applyFill="1" applyBorder="1" applyAlignment="1" applyProtection="1">
      <alignment vertical="center" wrapText="1"/>
    </xf>
    <xf numFmtId="0" fontId="24" fillId="0" borderId="0" xfId="0" applyFont="1" applyFill="1" applyAlignment="1" applyProtection="1">
      <alignment vertical="center" wrapText="1"/>
      <protection locked="0"/>
    </xf>
    <xf numFmtId="0" fontId="24" fillId="0" borderId="0" xfId="0" applyFont="1" applyFill="1" applyAlignment="1" applyProtection="1">
      <alignment horizontal="left" vertical="center" wrapText="1"/>
      <protection locked="0"/>
    </xf>
    <xf numFmtId="0" fontId="24" fillId="0" borderId="16" xfId="0" applyFont="1" applyBorder="1" applyAlignment="1" applyProtection="1">
      <alignment vertical="center"/>
    </xf>
    <xf numFmtId="2" fontId="24" fillId="4" borderId="17" xfId="0" applyNumberFormat="1" applyFont="1" applyFill="1" applyBorder="1" applyAlignment="1" applyProtection="1">
      <alignment vertical="center"/>
    </xf>
    <xf numFmtId="9" fontId="24" fillId="4" borderId="17" xfId="4" applyFont="1" applyFill="1" applyBorder="1" applyAlignment="1" applyProtection="1">
      <alignment vertical="center"/>
    </xf>
    <xf numFmtId="0" fontId="24" fillId="0" borderId="26" xfId="0" applyFont="1" applyBorder="1" applyAlignment="1" applyProtection="1">
      <alignment vertical="center"/>
    </xf>
    <xf numFmtId="2" fontId="24" fillId="4" borderId="25" xfId="0" applyNumberFormat="1" applyFont="1" applyFill="1" applyBorder="1" applyAlignment="1" applyProtection="1">
      <alignment vertical="center"/>
    </xf>
    <xf numFmtId="0" fontId="24" fillId="0" borderId="24" xfId="0" applyFont="1" applyBorder="1" applyAlignment="1" applyProtection="1">
      <alignment vertical="center" wrapText="1"/>
    </xf>
    <xf numFmtId="9" fontId="24" fillId="4" borderId="23" xfId="4" applyFont="1" applyFill="1" applyBorder="1" applyAlignment="1" applyProtection="1">
      <alignment horizontal="right" vertical="center" wrapText="1"/>
    </xf>
    <xf numFmtId="0" fontId="24" fillId="0" borderId="33" xfId="0" applyFont="1" applyBorder="1" applyAlignment="1" applyProtection="1">
      <alignment horizontal="right" vertical="center" wrapText="1"/>
    </xf>
    <xf numFmtId="2" fontId="24" fillId="4" borderId="19" xfId="0" applyNumberFormat="1" applyFont="1" applyFill="1" applyBorder="1" applyAlignment="1" applyProtection="1">
      <alignment vertical="center"/>
    </xf>
    <xf numFmtId="0" fontId="39" fillId="0" borderId="0" xfId="0" applyFont="1" applyAlignment="1" applyProtection="1">
      <alignment vertical="center" wrapText="1"/>
    </xf>
    <xf numFmtId="2" fontId="24" fillId="4" borderId="22" xfId="0" applyNumberFormat="1" applyFont="1" applyFill="1" applyBorder="1" applyAlignment="1" applyProtection="1">
      <alignment horizontal="right" vertical="center"/>
    </xf>
    <xf numFmtId="167" fontId="24" fillId="10" borderId="21" xfId="4" applyNumberFormat="1" applyFont="1" applyFill="1" applyBorder="1" applyAlignment="1" applyProtection="1">
      <alignment vertical="center"/>
    </xf>
    <xf numFmtId="0" fontId="54" fillId="0" borderId="0" xfId="0" applyFont="1" applyAlignment="1" applyProtection="1">
      <alignment vertical="center" wrapText="1"/>
    </xf>
    <xf numFmtId="164" fontId="24" fillId="10" borderId="18" xfId="0" applyNumberFormat="1" applyFont="1" applyFill="1" applyBorder="1" applyAlignment="1" applyProtection="1">
      <alignment vertical="center" wrapText="1"/>
    </xf>
    <xf numFmtId="170" fontId="24" fillId="10" borderId="18" xfId="5" applyNumberFormat="1" applyFont="1" applyFill="1" applyBorder="1" applyAlignment="1" applyProtection="1">
      <alignment vertical="center" wrapText="1"/>
    </xf>
    <xf numFmtId="167" fontId="24" fillId="10" borderId="25" xfId="4" applyNumberFormat="1" applyFont="1" applyFill="1" applyBorder="1" applyAlignment="1" applyProtection="1">
      <alignment vertical="center"/>
    </xf>
    <xf numFmtId="164" fontId="24" fillId="10" borderId="22" xfId="0" applyNumberFormat="1" applyFont="1" applyFill="1" applyBorder="1" applyAlignment="1" applyProtection="1">
      <alignment vertical="center"/>
    </xf>
    <xf numFmtId="170" fontId="24" fillId="10" borderId="22" xfId="5" applyNumberFormat="1" applyFont="1" applyFill="1" applyBorder="1" applyAlignment="1" applyProtection="1">
      <alignment vertical="center"/>
    </xf>
    <xf numFmtId="0" fontId="26" fillId="6" borderId="8" xfId="0" applyFont="1" applyFill="1" applyBorder="1" applyAlignment="1" applyProtection="1">
      <alignment vertical="center"/>
    </xf>
    <xf numFmtId="0" fontId="24" fillId="6" borderId="8" xfId="0" applyFont="1" applyFill="1" applyBorder="1" applyAlignment="1" applyProtection="1">
      <alignment vertical="center"/>
      <protection hidden="1"/>
    </xf>
    <xf numFmtId="0" fontId="25" fillId="6" borderId="8" xfId="6" applyFont="1" applyFill="1" applyBorder="1" applyAlignment="1" applyProtection="1">
      <alignment horizontal="left" vertical="center" wrapText="1"/>
    </xf>
    <xf numFmtId="0" fontId="69" fillId="0" borderId="35" xfId="0" applyFont="1" applyFill="1" applyBorder="1" applyAlignment="1" applyProtection="1">
      <alignment vertical="center" wrapText="1"/>
    </xf>
    <xf numFmtId="164" fontId="24" fillId="0" borderId="41" xfId="0" applyNumberFormat="1" applyFont="1" applyBorder="1" applyAlignment="1">
      <alignment vertical="center"/>
    </xf>
    <xf numFmtId="0" fontId="24" fillId="0" borderId="41" xfId="0" applyFont="1" applyBorder="1" applyAlignment="1">
      <alignment vertical="center"/>
    </xf>
    <xf numFmtId="0" fontId="24" fillId="0" borderId="41" xfId="0" applyFont="1" applyBorder="1" applyAlignment="1">
      <alignment vertical="center" wrapText="1"/>
    </xf>
    <xf numFmtId="0" fontId="24" fillId="0" borderId="59" xfId="0" applyFont="1" applyBorder="1" applyAlignment="1">
      <alignment vertical="center" wrapText="1"/>
    </xf>
    <xf numFmtId="0" fontId="53" fillId="16" borderId="42" xfId="0" applyFont="1" applyFill="1" applyBorder="1" applyAlignment="1" applyProtection="1">
      <alignment vertical="center" wrapText="1"/>
    </xf>
    <xf numFmtId="0" fontId="0" fillId="0" borderId="11" xfId="0" applyBorder="1" applyAlignment="1">
      <alignment vertical="center"/>
    </xf>
    <xf numFmtId="170" fontId="25" fillId="10" borderId="1" xfId="5" applyNumberFormat="1" applyFont="1" applyFill="1" applyBorder="1" applyAlignment="1" applyProtection="1">
      <alignment horizontal="center" vertical="center" wrapText="1"/>
    </xf>
    <xf numFmtId="43" fontId="25" fillId="10" borderId="1" xfId="5" applyFont="1" applyFill="1" applyBorder="1" applyAlignment="1" applyProtection="1">
      <alignment horizontal="center" vertical="center" wrapText="1"/>
    </xf>
    <xf numFmtId="43" fontId="24" fillId="15" borderId="1" xfId="0" applyNumberFormat="1" applyFont="1" applyFill="1" applyBorder="1" applyAlignment="1">
      <alignment horizontal="center" vertical="center" wrapText="1"/>
    </xf>
    <xf numFmtId="2" fontId="48" fillId="16" borderId="43" xfId="0" applyNumberFormat="1" applyFont="1" applyFill="1" applyBorder="1" applyAlignment="1" applyProtection="1">
      <alignment vertical="center" wrapText="1"/>
    </xf>
    <xf numFmtId="43" fontId="24" fillId="0" borderId="0" xfId="0" applyNumberFormat="1" applyFont="1" applyAlignment="1" applyProtection="1">
      <alignment vertical="center"/>
    </xf>
    <xf numFmtId="0" fontId="24" fillId="0" borderId="0" xfId="0" applyFont="1" applyFill="1" applyAlignment="1" applyProtection="1">
      <alignment vertical="center" wrapText="1"/>
    </xf>
    <xf numFmtId="0" fontId="24" fillId="0" borderId="0" xfId="0" applyFont="1" applyFill="1" applyAlignment="1" applyProtection="1">
      <alignment horizontal="left" vertical="center" wrapText="1"/>
    </xf>
    <xf numFmtId="0" fontId="0" fillId="0" borderId="12" xfId="0" applyBorder="1" applyAlignment="1">
      <alignment vertical="center"/>
    </xf>
    <xf numFmtId="170" fontId="25" fillId="10" borderId="30" xfId="5" applyNumberFormat="1" applyFont="1" applyFill="1" applyBorder="1" applyAlignment="1" applyProtection="1">
      <alignment horizontal="center" vertical="center" wrapText="1"/>
    </xf>
    <xf numFmtId="43" fontId="25" fillId="10" borderId="30" xfId="5" applyFont="1" applyFill="1" applyBorder="1" applyAlignment="1" applyProtection="1">
      <alignment horizontal="center" vertical="center" wrapText="1"/>
    </xf>
    <xf numFmtId="43" fontId="24" fillId="15" borderId="30" xfId="0" applyNumberFormat="1" applyFont="1" applyFill="1" applyBorder="1" applyAlignment="1">
      <alignment horizontal="center" vertical="center" wrapText="1"/>
    </xf>
    <xf numFmtId="2" fontId="48" fillId="16" borderId="14" xfId="0" applyNumberFormat="1" applyFont="1" applyFill="1" applyBorder="1" applyAlignment="1" applyProtection="1">
      <alignment vertical="center" wrapText="1"/>
    </xf>
    <xf numFmtId="0" fontId="69" fillId="0" borderId="35" xfId="0" applyFont="1" applyFill="1" applyBorder="1" applyAlignment="1" applyProtection="1">
      <alignment vertical="center"/>
    </xf>
    <xf numFmtId="0" fontId="86" fillId="16" borderId="42" xfId="0" applyFont="1" applyFill="1" applyBorder="1" applyAlignment="1" applyProtection="1">
      <alignment vertical="center" wrapText="1"/>
    </xf>
    <xf numFmtId="0" fontId="24" fillId="0" borderId="35" xfId="0" quotePrefix="1" applyFont="1" applyFill="1" applyBorder="1" applyAlignment="1" applyProtection="1">
      <alignment vertical="center" wrapText="1"/>
    </xf>
    <xf numFmtId="0" fontId="69" fillId="0" borderId="59" xfId="0" applyFont="1" applyBorder="1" applyAlignment="1">
      <alignment vertical="center" wrapText="1"/>
    </xf>
    <xf numFmtId="0" fontId="85" fillId="0" borderId="0" xfId="0" applyFont="1" applyFill="1" applyAlignment="1" applyProtection="1">
      <alignment horizontal="right" vertical="center" wrapText="1"/>
    </xf>
    <xf numFmtId="2" fontId="25" fillId="10" borderId="1" xfId="5" applyNumberFormat="1" applyFont="1" applyFill="1" applyBorder="1" applyAlignment="1" applyProtection="1">
      <alignment horizontal="right" vertical="center" wrapText="1"/>
    </xf>
    <xf numFmtId="2" fontId="24" fillId="15" borderId="1" xfId="0" applyNumberFormat="1" applyFont="1" applyFill="1" applyBorder="1" applyAlignment="1">
      <alignment horizontal="right" vertical="center" wrapText="1"/>
    </xf>
    <xf numFmtId="43" fontId="85" fillId="0" borderId="0" xfId="0" applyNumberFormat="1" applyFont="1" applyFill="1" applyAlignment="1" applyProtection="1">
      <alignment horizontal="right" vertical="center"/>
    </xf>
    <xf numFmtId="2" fontId="85" fillId="0" borderId="0" xfId="0" applyNumberFormat="1" applyFont="1" applyFill="1" applyAlignment="1" applyProtection="1">
      <alignment horizontal="right" vertical="center"/>
    </xf>
    <xf numFmtId="2" fontId="25" fillId="10" borderId="30" xfId="5" applyNumberFormat="1" applyFont="1" applyFill="1" applyBorder="1" applyAlignment="1" applyProtection="1">
      <alignment horizontal="right" vertical="center" wrapText="1"/>
    </xf>
    <xf numFmtId="2" fontId="32" fillId="8" borderId="1" xfId="6" applyNumberFormat="1" applyFont="1" applyFill="1" applyBorder="1" applyAlignment="1" applyProtection="1">
      <alignment horizontal="center" vertical="center" wrapText="1"/>
      <protection locked="0"/>
    </xf>
    <xf numFmtId="9" fontId="32" fillId="8" borderId="1" xfId="4" applyFont="1" applyFill="1" applyBorder="1" applyAlignment="1" applyProtection="1">
      <alignment horizontal="center" vertical="center" wrapText="1"/>
      <protection locked="0"/>
    </xf>
    <xf numFmtId="2" fontId="32" fillId="8" borderId="1" xfId="4" applyNumberFormat="1" applyFont="1" applyFill="1" applyBorder="1" applyAlignment="1" applyProtection="1">
      <alignment horizontal="center" vertical="center" wrapText="1"/>
      <protection locked="0"/>
    </xf>
    <xf numFmtId="0" fontId="32" fillId="0" borderId="37" xfId="6" applyFont="1" applyFill="1" applyBorder="1" applyAlignment="1" applyProtection="1">
      <alignment horizontal="left" vertical="center" wrapText="1"/>
    </xf>
    <xf numFmtId="0" fontId="32" fillId="0" borderId="1" xfId="6" applyFont="1" applyFill="1" applyBorder="1" applyAlignment="1" applyProtection="1">
      <alignment horizontal="left" vertical="center" wrapText="1"/>
    </xf>
    <xf numFmtId="0" fontId="54" fillId="0" borderId="0" xfId="3" applyFont="1" applyAlignment="1" applyProtection="1">
      <alignment vertical="center" wrapText="1"/>
    </xf>
    <xf numFmtId="0" fontId="54" fillId="0" borderId="37" xfId="0" applyFont="1" applyBorder="1" applyAlignment="1" applyProtection="1">
      <alignment vertical="center"/>
    </xf>
    <xf numFmtId="10" fontId="54" fillId="10" borderId="37" xfId="4" applyNumberFormat="1" applyFont="1" applyFill="1" applyBorder="1" applyAlignment="1" applyProtection="1">
      <alignment horizontal="center" vertical="center" wrapText="1"/>
    </xf>
    <xf numFmtId="2" fontId="54" fillId="0" borderId="0" xfId="0" applyNumberFormat="1" applyFont="1" applyFill="1" applyBorder="1" applyAlignment="1" applyProtection="1">
      <alignment horizontal="center" vertical="center" wrapText="1"/>
    </xf>
    <xf numFmtId="2" fontId="54" fillId="10" borderId="1" xfId="0" applyNumberFormat="1" applyFont="1" applyFill="1" applyBorder="1" applyAlignment="1" applyProtection="1">
      <alignment horizontal="center" vertical="center" wrapText="1"/>
    </xf>
    <xf numFmtId="10" fontId="54" fillId="10" borderId="1" xfId="4" applyNumberFormat="1" applyFont="1" applyFill="1" applyBorder="1" applyAlignment="1" applyProtection="1">
      <alignment horizontal="center" vertical="center" wrapText="1"/>
    </xf>
    <xf numFmtId="167" fontId="54" fillId="10" borderId="1" xfId="4" applyNumberFormat="1" applyFont="1" applyFill="1" applyBorder="1" applyAlignment="1" applyProtection="1">
      <alignment horizontal="center" vertical="center" wrapText="1"/>
    </xf>
    <xf numFmtId="0" fontId="54" fillId="0" borderId="38" xfId="0" applyFont="1" applyBorder="1" applyAlignment="1" applyProtection="1">
      <alignment vertical="center"/>
    </xf>
    <xf numFmtId="0" fontId="54" fillId="0" borderId="67" xfId="0" applyFont="1" applyFill="1" applyBorder="1" applyAlignment="1" applyProtection="1">
      <alignment vertical="center"/>
    </xf>
    <xf numFmtId="169" fontId="63" fillId="10" borderId="1" xfId="4" applyNumberFormat="1" applyFont="1" applyFill="1" applyBorder="1" applyAlignment="1" applyProtection="1">
      <alignment horizontal="left" vertical="center" wrapText="1"/>
    </xf>
    <xf numFmtId="2" fontId="101" fillId="13" borderId="8" xfId="0" applyNumberFormat="1" applyFont="1" applyFill="1" applyBorder="1" applyAlignment="1" applyProtection="1">
      <alignment vertical="center" wrapText="1"/>
    </xf>
    <xf numFmtId="173" fontId="100" fillId="10" borderId="1" xfId="5" applyNumberFormat="1" applyFont="1" applyFill="1" applyBorder="1" applyAlignment="1" applyProtection="1">
      <alignment horizontal="center" wrapText="1"/>
    </xf>
    <xf numFmtId="0" fontId="54" fillId="0" borderId="0" xfId="0" applyFont="1" applyAlignment="1" applyProtection="1">
      <alignment horizontal="left" vertical="top" wrapText="1"/>
    </xf>
    <xf numFmtId="10" fontId="66" fillId="0" borderId="0" xfId="4" applyNumberFormat="1" applyFont="1" applyFill="1" applyAlignment="1" applyProtection="1">
      <alignment horizontal="left"/>
    </xf>
    <xf numFmtId="2" fontId="100" fillId="10" borderId="1" xfId="5" applyNumberFormat="1" applyFont="1" applyFill="1" applyBorder="1" applyAlignment="1" applyProtection="1">
      <alignment horizontal="center" wrapText="1"/>
    </xf>
    <xf numFmtId="0" fontId="100" fillId="10" borderId="1" xfId="4" applyNumberFormat="1" applyFont="1" applyFill="1" applyBorder="1" applyAlignment="1" applyProtection="1">
      <alignment horizontal="center" wrapText="1"/>
    </xf>
    <xf numFmtId="2" fontId="67" fillId="0" borderId="0" xfId="0" applyNumberFormat="1" applyFont="1" applyFill="1"/>
    <xf numFmtId="1" fontId="54" fillId="10" borderId="1" xfId="4" applyNumberFormat="1" applyFont="1" applyFill="1" applyBorder="1" applyAlignment="1" applyProtection="1">
      <alignment horizontal="center" vertical="center" wrapText="1"/>
    </xf>
    <xf numFmtId="2" fontId="102" fillId="10" borderId="1" xfId="0" applyNumberFormat="1" applyFont="1" applyFill="1" applyBorder="1" applyAlignment="1" applyProtection="1">
      <alignment horizontal="center" vertical="center" wrapText="1"/>
    </xf>
    <xf numFmtId="0" fontId="103" fillId="0" borderId="0" xfId="0" applyFont="1" applyAlignment="1" applyProtection="1">
      <alignment horizontal="left" vertical="top"/>
    </xf>
    <xf numFmtId="0" fontId="24" fillId="0" borderId="0" xfId="0" applyFont="1" applyFill="1" applyBorder="1" applyAlignment="1" applyProtection="1">
      <alignment horizontal="left" wrapText="1"/>
    </xf>
    <xf numFmtId="0" fontId="24" fillId="0" borderId="0" xfId="0" applyFont="1" applyFill="1" applyAlignment="1" applyProtection="1">
      <alignment horizontal="left" wrapText="1"/>
    </xf>
    <xf numFmtId="0" fontId="17" fillId="0" borderId="0" xfId="0" applyFont="1" applyProtection="1">
      <protection locked="0"/>
    </xf>
    <xf numFmtId="2" fontId="32" fillId="8" borderId="37" xfId="6" applyNumberFormat="1" applyFont="1" applyFill="1" applyBorder="1" applyAlignment="1" applyProtection="1">
      <alignment horizontal="center" vertical="center" wrapText="1"/>
      <protection locked="0"/>
    </xf>
    <xf numFmtId="1" fontId="32" fillId="8" borderId="38" xfId="6" applyNumberFormat="1" applyFont="1" applyFill="1" applyBorder="1" applyAlignment="1" applyProtection="1">
      <alignment horizontal="center" vertical="center" wrapText="1"/>
      <protection locked="0"/>
    </xf>
    <xf numFmtId="0" fontId="36" fillId="9" borderId="9" xfId="0" applyFont="1" applyFill="1" applyBorder="1" applyProtection="1"/>
    <xf numFmtId="0" fontId="0" fillId="9" borderId="0" xfId="0" applyFill="1" applyProtection="1"/>
    <xf numFmtId="0" fontId="5" fillId="9" borderId="0" xfId="0" applyFont="1" applyFill="1" applyProtection="1"/>
    <xf numFmtId="0" fontId="7" fillId="9" borderId="0" xfId="0" applyFont="1" applyFill="1" applyProtection="1"/>
    <xf numFmtId="2" fontId="0" fillId="9" borderId="0" xfId="0" applyNumberFormat="1" applyFill="1" applyProtection="1"/>
    <xf numFmtId="0" fontId="9" fillId="9" borderId="45" xfId="0" applyFont="1" applyFill="1" applyBorder="1" applyAlignment="1" applyProtection="1">
      <alignment wrapText="1"/>
    </xf>
    <xf numFmtId="9" fontId="5" fillId="9" borderId="0" xfId="0" applyNumberFormat="1" applyFont="1" applyFill="1" applyProtection="1"/>
    <xf numFmtId="0" fontId="5" fillId="9" borderId="0" xfId="0" applyFont="1" applyFill="1" applyAlignment="1" applyProtection="1">
      <alignment wrapText="1"/>
    </xf>
    <xf numFmtId="0" fontId="0" fillId="9" borderId="0" xfId="0" applyFill="1" applyAlignment="1" applyProtection="1">
      <alignment wrapText="1"/>
    </xf>
    <xf numFmtId="0" fontId="5" fillId="9" borderId="45" xfId="0" applyFont="1" applyFill="1" applyBorder="1" applyAlignment="1" applyProtection="1"/>
    <xf numFmtId="0" fontId="5" fillId="9" borderId="45" xfId="0" applyFont="1" applyFill="1" applyBorder="1" applyAlignment="1" applyProtection="1">
      <alignment wrapText="1"/>
    </xf>
    <xf numFmtId="2" fontId="5" fillId="9" borderId="0" xfId="0" applyNumberFormat="1" applyFont="1" applyFill="1" applyProtection="1"/>
    <xf numFmtId="1" fontId="0" fillId="9" borderId="0" xfId="0" applyNumberFormat="1" applyFill="1" applyAlignment="1" applyProtection="1">
      <alignment horizontal="center" wrapText="1"/>
    </xf>
    <xf numFmtId="165" fontId="0" fillId="9" borderId="0" xfId="0" applyNumberFormat="1" applyFill="1" applyProtection="1"/>
    <xf numFmtId="0" fontId="35" fillId="9" borderId="0" xfId="0" applyFont="1" applyFill="1" applyAlignment="1" applyProtection="1">
      <alignment horizontal="center" vertical="center" wrapText="1"/>
    </xf>
    <xf numFmtId="164" fontId="0" fillId="9" borderId="0" xfId="0" applyNumberFormat="1" applyFill="1" applyProtection="1"/>
    <xf numFmtId="164" fontId="0" fillId="9" borderId="0" xfId="0" applyNumberFormat="1" applyFill="1" applyAlignment="1" applyProtection="1">
      <alignment wrapText="1"/>
    </xf>
    <xf numFmtId="0" fontId="5" fillId="9" borderId="0" xfId="0" applyFont="1" applyFill="1" applyBorder="1" applyProtection="1"/>
    <xf numFmtId="0" fontId="22" fillId="9" borderId="0" xfId="0" applyFont="1" applyFill="1" applyProtection="1"/>
    <xf numFmtId="0" fontId="5" fillId="9" borderId="45" xfId="0" applyFont="1" applyFill="1" applyBorder="1" applyProtection="1"/>
    <xf numFmtId="1" fontId="22" fillId="9" borderId="0" xfId="0" applyNumberFormat="1" applyFont="1" applyFill="1" applyAlignment="1" applyProtection="1">
      <alignment horizontal="center" wrapText="1"/>
    </xf>
    <xf numFmtId="165" fontId="22" fillId="9" borderId="0" xfId="0" applyNumberFormat="1" applyFont="1" applyFill="1" applyProtection="1"/>
    <xf numFmtId="0" fontId="22" fillId="9" borderId="0" xfId="0" applyFont="1" applyFill="1" applyAlignment="1" applyProtection="1">
      <alignment horizontal="center" vertical="center" wrapText="1"/>
    </xf>
    <xf numFmtId="164" fontId="22" fillId="9" borderId="0" xfId="0" applyNumberFormat="1" applyFont="1" applyFill="1" applyProtection="1"/>
    <xf numFmtId="2" fontId="22" fillId="9" borderId="0" xfId="0" applyNumberFormat="1" applyFont="1" applyFill="1" applyProtection="1"/>
    <xf numFmtId="164" fontId="22" fillId="9" borderId="0" xfId="0" applyNumberFormat="1" applyFont="1" applyFill="1" applyAlignment="1" applyProtection="1">
      <alignment wrapText="1"/>
    </xf>
    <xf numFmtId="0" fontId="5" fillId="9" borderId="52" xfId="0" applyFont="1" applyFill="1" applyBorder="1" applyProtection="1"/>
    <xf numFmtId="0" fontId="14" fillId="9" borderId="52" xfId="0" applyFont="1" applyFill="1" applyBorder="1" applyProtection="1"/>
    <xf numFmtId="1" fontId="0" fillId="9" borderId="2" xfId="0" applyNumberFormat="1" applyFill="1" applyBorder="1" applyProtection="1"/>
    <xf numFmtId="1" fontId="0" fillId="9" borderId="53" xfId="0" applyNumberFormat="1" applyFill="1" applyBorder="1" applyProtection="1"/>
    <xf numFmtId="0" fontId="14" fillId="9" borderId="45" xfId="0" applyFont="1" applyFill="1" applyBorder="1" applyProtection="1"/>
    <xf numFmtId="1" fontId="0" fillId="9" borderId="0" xfId="0" applyNumberFormat="1" applyFill="1" applyBorder="1" applyProtection="1"/>
    <xf numFmtId="1" fontId="0" fillId="9" borderId="44" xfId="0" applyNumberFormat="1" applyFill="1" applyBorder="1" applyProtection="1"/>
    <xf numFmtId="0" fontId="5" fillId="9" borderId="55" xfId="0" applyFont="1" applyFill="1" applyBorder="1" applyProtection="1"/>
    <xf numFmtId="1" fontId="0" fillId="9" borderId="3" xfId="0" applyNumberFormat="1" applyFill="1" applyBorder="1" applyProtection="1"/>
    <xf numFmtId="1" fontId="0" fillId="9" borderId="56" xfId="0" applyNumberFormat="1" applyFill="1" applyBorder="1" applyProtection="1"/>
    <xf numFmtId="2" fontId="0" fillId="9" borderId="2" xfId="0" applyNumberFormat="1" applyFill="1" applyBorder="1" applyProtection="1"/>
    <xf numFmtId="2" fontId="0" fillId="9" borderId="53" xfId="0" applyNumberFormat="1" applyFill="1" applyBorder="1" applyProtection="1"/>
    <xf numFmtId="2" fontId="0" fillId="9" borderId="0" xfId="0" applyNumberFormat="1" applyFill="1" applyBorder="1" applyProtection="1"/>
    <xf numFmtId="2" fontId="0" fillId="9" borderId="44" xfId="0" applyNumberFormat="1" applyFill="1" applyBorder="1" applyProtection="1"/>
    <xf numFmtId="2" fontId="0" fillId="9" borderId="3" xfId="0" applyNumberFormat="1" applyFill="1" applyBorder="1" applyProtection="1"/>
    <xf numFmtId="2" fontId="0" fillId="9" borderId="56" xfId="0" applyNumberFormat="1" applyFill="1" applyBorder="1" applyProtection="1"/>
    <xf numFmtId="0" fontId="56" fillId="9" borderId="0" xfId="0" applyFont="1" applyFill="1" applyBorder="1" applyAlignment="1" applyProtection="1">
      <alignment horizontal="center"/>
    </xf>
    <xf numFmtId="0" fontId="0" fillId="9" borderId="68" xfId="0" applyFill="1" applyBorder="1" applyProtection="1"/>
    <xf numFmtId="0" fontId="0" fillId="0" borderId="69" xfId="0" applyFill="1" applyBorder="1" applyProtection="1"/>
    <xf numFmtId="0" fontId="56" fillId="9" borderId="0" xfId="0" applyFont="1" applyFill="1" applyBorder="1" applyProtection="1"/>
    <xf numFmtId="0" fontId="0" fillId="9" borderId="70" xfId="0" applyFill="1" applyBorder="1" applyProtection="1"/>
    <xf numFmtId="0" fontId="0" fillId="0" borderId="71" xfId="0" applyFill="1" applyBorder="1" applyProtection="1"/>
    <xf numFmtId="0" fontId="0" fillId="9" borderId="72" xfId="0" applyFill="1" applyBorder="1" applyProtection="1"/>
    <xf numFmtId="0" fontId="0" fillId="9" borderId="73" xfId="0" applyFill="1" applyBorder="1" applyProtection="1"/>
    <xf numFmtId="0" fontId="5" fillId="9" borderId="33" xfId="0" applyFont="1" applyFill="1" applyBorder="1" applyAlignment="1" applyProtection="1">
      <alignment horizontal="center"/>
    </xf>
    <xf numFmtId="0" fontId="0" fillId="9" borderId="20" xfId="0" applyFill="1" applyBorder="1" applyAlignment="1" applyProtection="1">
      <alignment horizontal="center"/>
    </xf>
    <xf numFmtId="164" fontId="5" fillId="9" borderId="0" xfId="0" applyNumberFormat="1" applyFont="1" applyFill="1" applyProtection="1"/>
    <xf numFmtId="0" fontId="0" fillId="9" borderId="0" xfId="0" applyFont="1" applyFill="1" applyAlignment="1" applyProtection="1">
      <alignment wrapText="1"/>
    </xf>
    <xf numFmtId="0" fontId="5" fillId="9" borderId="57" xfId="0" applyFont="1" applyFill="1" applyBorder="1" applyAlignment="1" applyProtection="1">
      <alignment wrapText="1"/>
    </xf>
    <xf numFmtId="0" fontId="5" fillId="9" borderId="33" xfId="0" applyFont="1" applyFill="1" applyBorder="1" applyAlignment="1" applyProtection="1">
      <alignment horizontal="center" wrapText="1"/>
    </xf>
    <xf numFmtId="0" fontId="0" fillId="9" borderId="45" xfId="0" applyFill="1" applyBorder="1" applyProtection="1"/>
    <xf numFmtId="0" fontId="0" fillId="9" borderId="20" xfId="0" applyFill="1" applyBorder="1" applyAlignment="1" applyProtection="1">
      <alignment horizontal="center" wrapText="1"/>
    </xf>
    <xf numFmtId="166" fontId="7" fillId="9" borderId="1" xfId="0" applyNumberFormat="1" applyFont="1" applyFill="1" applyBorder="1" applyProtection="1"/>
    <xf numFmtId="0" fontId="42" fillId="9" borderId="0" xfId="0" applyFont="1" applyFill="1" applyBorder="1" applyProtection="1"/>
    <xf numFmtId="0" fontId="42" fillId="9" borderId="0" xfId="0" applyFont="1" applyFill="1" applyBorder="1" applyAlignment="1" applyProtection="1">
      <alignment wrapText="1"/>
    </xf>
    <xf numFmtId="166" fontId="5" fillId="9" borderId="1" xfId="0" applyNumberFormat="1" applyFont="1" applyFill="1" applyBorder="1" applyProtection="1"/>
    <xf numFmtId="2" fontId="0" fillId="0" borderId="0" xfId="0" applyNumberFormat="1" applyProtection="1"/>
    <xf numFmtId="167" fontId="0" fillId="0" borderId="0" xfId="4" applyNumberFormat="1" applyFont="1" applyProtection="1"/>
    <xf numFmtId="0" fontId="0" fillId="0" borderId="1" xfId="0" applyBorder="1" applyProtection="1"/>
    <xf numFmtId="9" fontId="0" fillId="9" borderId="0" xfId="4" applyFont="1" applyFill="1" applyProtection="1"/>
    <xf numFmtId="0" fontId="5" fillId="20" borderId="1" xfId="0" applyFont="1" applyFill="1" applyBorder="1" applyProtection="1"/>
    <xf numFmtId="0" fontId="5" fillId="20" borderId="1" xfId="0" applyFont="1" applyFill="1" applyBorder="1" applyAlignment="1" applyProtection="1">
      <alignment wrapText="1"/>
    </xf>
    <xf numFmtId="10" fontId="0" fillId="20" borderId="0" xfId="4" applyNumberFormat="1" applyFont="1" applyFill="1" applyProtection="1"/>
    <xf numFmtId="0" fontId="0" fillId="20" borderId="0" xfId="0" applyFill="1" applyProtection="1"/>
    <xf numFmtId="0" fontId="91" fillId="9" borderId="0" xfId="0" applyFont="1" applyFill="1" applyAlignment="1" applyProtection="1">
      <alignment wrapText="1"/>
    </xf>
    <xf numFmtId="0" fontId="64" fillId="0" borderId="0" xfId="0" applyFont="1" applyAlignment="1" applyProtection="1">
      <alignment wrapText="1"/>
    </xf>
    <xf numFmtId="1" fontId="7" fillId="19" borderId="1" xfId="0" applyNumberFormat="1" applyFont="1" applyFill="1" applyBorder="1" applyAlignment="1" applyProtection="1">
      <alignment horizontal="center" vertical="center"/>
    </xf>
    <xf numFmtId="0" fontId="0" fillId="10" borderId="1" xfId="0" applyFill="1" applyBorder="1" applyAlignment="1" applyProtection="1">
      <alignment horizontal="center" vertical="center"/>
    </xf>
    <xf numFmtId="0" fontId="64" fillId="10" borderId="1" xfId="0" applyFont="1" applyFill="1" applyBorder="1" applyAlignment="1" applyProtection="1">
      <alignment horizontal="center" vertical="center"/>
    </xf>
    <xf numFmtId="0" fontId="5" fillId="10" borderId="1" xfId="0" applyFont="1" applyFill="1" applyBorder="1" applyAlignment="1" applyProtection="1">
      <alignment horizontal="center" vertical="center"/>
    </xf>
    <xf numFmtId="2" fontId="7" fillId="19" borderId="1" xfId="0" applyNumberFormat="1" applyFont="1" applyFill="1" applyBorder="1" applyAlignment="1" applyProtection="1">
      <alignment horizontal="center" vertical="center"/>
    </xf>
    <xf numFmtId="164" fontId="7" fillId="19" borderId="1" xfId="0" applyNumberFormat="1" applyFont="1" applyFill="1" applyBorder="1" applyAlignment="1" applyProtection="1">
      <alignment horizontal="center" vertical="center"/>
    </xf>
    <xf numFmtId="0" fontId="7" fillId="19" borderId="1" xfId="0" applyFont="1" applyFill="1" applyBorder="1" applyAlignment="1" applyProtection="1">
      <alignment horizontal="center" vertical="center"/>
    </xf>
    <xf numFmtId="9" fontId="7" fillId="19" borderId="1" xfId="4" applyFont="1" applyFill="1" applyBorder="1" applyAlignment="1" applyProtection="1">
      <alignment horizontal="center" vertical="center"/>
    </xf>
    <xf numFmtId="0" fontId="7" fillId="19" borderId="1" xfId="5" applyNumberFormat="1" applyFont="1" applyFill="1" applyBorder="1" applyAlignment="1" applyProtection="1">
      <alignment horizontal="center" vertical="center"/>
    </xf>
    <xf numFmtId="1" fontId="7" fillId="19" borderId="1" xfId="0" applyNumberFormat="1" applyFont="1" applyFill="1" applyBorder="1" applyAlignment="1" applyProtection="1">
      <alignment horizontal="center" vertical="center" wrapText="1"/>
    </xf>
    <xf numFmtId="1" fontId="7" fillId="19" borderId="38" xfId="0" applyNumberFormat="1" applyFont="1" applyFill="1" applyBorder="1" applyAlignment="1" applyProtection="1">
      <alignment horizontal="center" vertical="center"/>
    </xf>
    <xf numFmtId="0" fontId="0" fillId="10" borderId="38" xfId="0" applyFill="1" applyBorder="1" applyAlignment="1" applyProtection="1">
      <alignment horizontal="center" vertical="center"/>
    </xf>
    <xf numFmtId="0" fontId="64" fillId="10" borderId="38" xfId="0" applyFont="1" applyFill="1" applyBorder="1" applyAlignment="1" applyProtection="1">
      <alignment horizontal="center" vertical="center"/>
    </xf>
    <xf numFmtId="0" fontId="5" fillId="10" borderId="38" xfId="0" applyFont="1" applyFill="1" applyBorder="1" applyAlignment="1" applyProtection="1">
      <alignment horizontal="center" vertical="center"/>
    </xf>
    <xf numFmtId="0" fontId="0" fillId="9" borderId="75" xfId="0" applyFill="1" applyBorder="1" applyProtection="1"/>
    <xf numFmtId="0" fontId="7" fillId="9" borderId="76" xfId="0" applyFont="1" applyFill="1" applyBorder="1" applyAlignment="1" applyProtection="1">
      <alignment horizontal="right"/>
    </xf>
    <xf numFmtId="0" fontId="27" fillId="0" borderId="15" xfId="0" applyFont="1" applyFill="1" applyBorder="1" applyAlignment="1" applyProtection="1">
      <alignment horizontal="center" wrapText="1"/>
    </xf>
    <xf numFmtId="0" fontId="27" fillId="0" borderId="10" xfId="0" applyFont="1" applyFill="1" applyBorder="1" applyAlignment="1" applyProtection="1">
      <alignment horizontal="center" wrapText="1"/>
    </xf>
    <xf numFmtId="0" fontId="27" fillId="0" borderId="21" xfId="0" applyFont="1" applyFill="1" applyBorder="1" applyAlignment="1" applyProtection="1">
      <alignment horizontal="center" wrapText="1"/>
    </xf>
    <xf numFmtId="0" fontId="27" fillId="0" borderId="65" xfId="0" applyFont="1" applyFill="1" applyBorder="1" applyAlignment="1" applyProtection="1">
      <alignment horizontal="center" wrapText="1"/>
    </xf>
    <xf numFmtId="0" fontId="0" fillId="9" borderId="77" xfId="0" applyFill="1" applyBorder="1" applyProtection="1"/>
    <xf numFmtId="0" fontId="7" fillId="9" borderId="78" xfId="0" applyFont="1" applyFill="1" applyBorder="1" applyAlignment="1" applyProtection="1">
      <alignment horizontal="right"/>
    </xf>
    <xf numFmtId="0" fontId="27" fillId="0" borderId="16" xfId="0" applyFont="1" applyFill="1" applyBorder="1" applyAlignment="1" applyProtection="1">
      <alignment horizontal="center" wrapText="1"/>
    </xf>
    <xf numFmtId="0" fontId="27" fillId="0" borderId="1" xfId="0" applyFont="1" applyFill="1" applyBorder="1" applyAlignment="1" applyProtection="1">
      <alignment horizontal="center" wrapText="1"/>
    </xf>
    <xf numFmtId="0" fontId="27" fillId="0" borderId="17" xfId="0" applyFont="1" applyFill="1" applyBorder="1" applyAlignment="1" applyProtection="1">
      <alignment horizontal="center" wrapText="1"/>
    </xf>
    <xf numFmtId="0" fontId="27" fillId="0" borderId="4" xfId="0" applyFont="1" applyFill="1" applyBorder="1" applyAlignment="1" applyProtection="1">
      <alignment horizontal="center" wrapText="1"/>
    </xf>
    <xf numFmtId="0" fontId="7" fillId="9" borderId="77" xfId="0" applyFont="1" applyFill="1" applyBorder="1" applyAlignment="1" applyProtection="1">
      <alignment horizontal="right"/>
    </xf>
    <xf numFmtId="0" fontId="27" fillId="0" borderId="28" xfId="0" applyFont="1" applyFill="1" applyBorder="1" applyAlignment="1" applyProtection="1">
      <alignment horizontal="center" wrapText="1"/>
    </xf>
    <xf numFmtId="0" fontId="27" fillId="0" borderId="38" xfId="0" applyFont="1" applyFill="1" applyBorder="1" applyAlignment="1" applyProtection="1">
      <alignment horizontal="center" wrapText="1"/>
    </xf>
    <xf numFmtId="0" fontId="27" fillId="0" borderId="27" xfId="0" applyFont="1" applyFill="1" applyBorder="1" applyAlignment="1" applyProtection="1">
      <alignment horizontal="center" wrapText="1"/>
    </xf>
    <xf numFmtId="0" fontId="27" fillId="0" borderId="74" xfId="0" applyFont="1" applyFill="1" applyBorder="1" applyAlignment="1" applyProtection="1">
      <alignment horizontal="center" wrapText="1"/>
    </xf>
    <xf numFmtId="0" fontId="0" fillId="9" borderId="77" xfId="0" applyFill="1" applyBorder="1" applyAlignment="1" applyProtection="1">
      <alignment horizontal="right"/>
    </xf>
    <xf numFmtId="0" fontId="7" fillId="9" borderId="78" xfId="0" applyFont="1" applyFill="1" applyBorder="1" applyAlignment="1" applyProtection="1">
      <alignment horizontal="center"/>
    </xf>
    <xf numFmtId="0" fontId="0" fillId="10" borderId="15" xfId="0" applyFill="1" applyBorder="1" applyAlignment="1" applyProtection="1">
      <alignment horizontal="center"/>
    </xf>
    <xf numFmtId="0" fontId="0" fillId="10" borderId="10" xfId="0" applyFill="1" applyBorder="1" applyAlignment="1" applyProtection="1">
      <alignment horizontal="center"/>
    </xf>
    <xf numFmtId="0" fontId="0" fillId="10" borderId="21" xfId="0" applyFill="1" applyBorder="1" applyAlignment="1" applyProtection="1">
      <alignment horizontal="center"/>
    </xf>
    <xf numFmtId="2" fontId="0" fillId="24" borderId="15" xfId="0" applyNumberFormat="1" applyFill="1" applyBorder="1" applyAlignment="1" applyProtection="1">
      <alignment horizontal="center"/>
    </xf>
    <xf numFmtId="2" fontId="0" fillId="24" borderId="10" xfId="0" applyNumberFormat="1" applyFill="1" applyBorder="1" applyAlignment="1" applyProtection="1">
      <alignment horizontal="center"/>
    </xf>
    <xf numFmtId="2" fontId="0" fillId="24" borderId="21" xfId="0" applyNumberFormat="1" applyFill="1" applyBorder="1" applyAlignment="1" applyProtection="1">
      <alignment horizontal="center"/>
    </xf>
    <xf numFmtId="0" fontId="0" fillId="10" borderId="65" xfId="0" applyFill="1" applyBorder="1" applyAlignment="1" applyProtection="1">
      <alignment horizontal="center"/>
    </xf>
    <xf numFmtId="0" fontId="0" fillId="23" borderId="15" xfId="0" applyFill="1" applyBorder="1" applyAlignment="1" applyProtection="1">
      <alignment horizontal="center"/>
    </xf>
    <xf numFmtId="0" fontId="0" fillId="23" borderId="10" xfId="0" applyFill="1" applyBorder="1" applyAlignment="1" applyProtection="1">
      <alignment horizontal="center"/>
    </xf>
    <xf numFmtId="0" fontId="0" fillId="23" borderId="65" xfId="0" applyFill="1" applyBorder="1" applyAlignment="1" applyProtection="1">
      <alignment horizontal="center"/>
    </xf>
    <xf numFmtId="0" fontId="0" fillId="23" borderId="21" xfId="0" applyFill="1" applyBorder="1" applyAlignment="1" applyProtection="1">
      <alignment horizontal="center"/>
    </xf>
    <xf numFmtId="0" fontId="0" fillId="10" borderId="16" xfId="0" applyFill="1" applyBorder="1" applyAlignment="1" applyProtection="1">
      <alignment horizontal="center"/>
    </xf>
    <xf numFmtId="0" fontId="0" fillId="10" borderId="1" xfId="0" applyFill="1" applyBorder="1" applyAlignment="1" applyProtection="1">
      <alignment horizontal="center"/>
    </xf>
    <xf numFmtId="0" fontId="0" fillId="10" borderId="17" xfId="0" applyFill="1" applyBorder="1" applyAlignment="1" applyProtection="1">
      <alignment horizontal="center"/>
    </xf>
    <xf numFmtId="2" fontId="0" fillId="24" borderId="16" xfId="0" applyNumberFormat="1" applyFill="1" applyBorder="1" applyAlignment="1" applyProtection="1">
      <alignment horizontal="center"/>
    </xf>
    <xf numFmtId="2" fontId="0" fillId="24" borderId="1" xfId="0" applyNumberFormat="1" applyFill="1" applyBorder="1" applyAlignment="1" applyProtection="1">
      <alignment horizontal="center"/>
    </xf>
    <xf numFmtId="2" fontId="0" fillId="24" borderId="17" xfId="0" applyNumberFormat="1" applyFill="1" applyBorder="1" applyAlignment="1" applyProtection="1">
      <alignment horizontal="center"/>
    </xf>
    <xf numFmtId="0" fontId="0" fillId="10" borderId="4" xfId="0" applyFill="1" applyBorder="1" applyAlignment="1" applyProtection="1">
      <alignment horizontal="center"/>
    </xf>
    <xf numFmtId="0" fontId="0" fillId="23" borderId="16" xfId="0" applyFill="1" applyBorder="1" applyAlignment="1" applyProtection="1">
      <alignment horizontal="center"/>
    </xf>
    <xf numFmtId="0" fontId="0" fillId="23" borderId="1" xfId="0" applyFill="1" applyBorder="1" applyAlignment="1" applyProtection="1">
      <alignment horizontal="center"/>
    </xf>
    <xf numFmtId="0" fontId="0" fillId="23" borderId="4" xfId="0" applyFill="1" applyBorder="1" applyAlignment="1" applyProtection="1">
      <alignment horizontal="center"/>
    </xf>
    <xf numFmtId="0" fontId="0" fillId="23" borderId="17" xfId="0" applyFill="1" applyBorder="1" applyAlignment="1" applyProtection="1">
      <alignment horizontal="center"/>
    </xf>
    <xf numFmtId="0" fontId="0" fillId="10" borderId="26" xfId="0" applyFill="1" applyBorder="1" applyAlignment="1" applyProtection="1">
      <alignment horizontal="center"/>
    </xf>
    <xf numFmtId="0" fontId="0" fillId="10" borderId="30" xfId="0" applyFill="1" applyBorder="1" applyAlignment="1" applyProtection="1">
      <alignment horizontal="center"/>
    </xf>
    <xf numFmtId="0" fontId="0" fillId="10" borderId="25" xfId="0" applyFill="1" applyBorder="1" applyAlignment="1" applyProtection="1">
      <alignment horizontal="center"/>
    </xf>
    <xf numFmtId="2" fontId="0" fillId="24" borderId="26" xfId="0" applyNumberFormat="1" applyFill="1" applyBorder="1" applyAlignment="1" applyProtection="1">
      <alignment horizontal="center"/>
    </xf>
    <xf numFmtId="2" fontId="0" fillId="24" borderId="30" xfId="0" applyNumberFormat="1" applyFill="1" applyBorder="1" applyAlignment="1" applyProtection="1">
      <alignment horizontal="center"/>
    </xf>
    <xf numFmtId="2" fontId="0" fillId="24" borderId="25" xfId="0" applyNumberFormat="1" applyFill="1" applyBorder="1" applyAlignment="1" applyProtection="1">
      <alignment horizontal="center"/>
    </xf>
    <xf numFmtId="0" fontId="0" fillId="10" borderId="66" xfId="0" applyFill="1" applyBorder="1" applyAlignment="1" applyProtection="1">
      <alignment horizontal="center"/>
    </xf>
    <xf numFmtId="0" fontId="0" fillId="23" borderId="26" xfId="0" applyFill="1" applyBorder="1" applyAlignment="1" applyProtection="1">
      <alignment horizontal="center"/>
    </xf>
    <xf numFmtId="0" fontId="0" fillId="23" borderId="30" xfId="0" applyFill="1" applyBorder="1" applyAlignment="1" applyProtection="1">
      <alignment horizontal="center"/>
    </xf>
    <xf numFmtId="0" fontId="0" fillId="23" borderId="66" xfId="0" applyFill="1" applyBorder="1" applyAlignment="1" applyProtection="1">
      <alignment horizontal="center"/>
    </xf>
    <xf numFmtId="0" fontId="0" fillId="23" borderId="25" xfId="0" applyFill="1" applyBorder="1" applyAlignment="1" applyProtection="1">
      <alignment horizontal="center"/>
    </xf>
    <xf numFmtId="0" fontId="0" fillId="9" borderId="79" xfId="0" applyFill="1" applyBorder="1" applyAlignment="1" applyProtection="1">
      <alignment horizontal="right"/>
    </xf>
    <xf numFmtId="0" fontId="7" fillId="9" borderId="80" xfId="0" applyFont="1" applyFill="1" applyBorder="1" applyAlignment="1" applyProtection="1">
      <alignment horizontal="center"/>
    </xf>
    <xf numFmtId="0" fontId="17" fillId="0" borderId="35" xfId="0" applyFont="1" applyBorder="1" applyAlignment="1" applyProtection="1">
      <alignment horizontal="left" vertical="top" wrapText="1"/>
    </xf>
    <xf numFmtId="0" fontId="17" fillId="0" borderId="41" xfId="0" applyFont="1" applyBorder="1" applyAlignment="1" applyProtection="1">
      <alignment horizontal="left" vertical="top" wrapText="1"/>
    </xf>
    <xf numFmtId="0" fontId="17" fillId="0" borderId="42" xfId="0" applyFont="1" applyBorder="1" applyAlignment="1" applyProtection="1">
      <alignment horizontal="left" vertical="top" wrapText="1"/>
    </xf>
    <xf numFmtId="0" fontId="17" fillId="0" borderId="11" xfId="0" applyFont="1" applyBorder="1" applyAlignment="1" applyProtection="1">
      <alignment horizontal="left" vertical="top" wrapText="1"/>
    </xf>
    <xf numFmtId="0" fontId="17" fillId="0" borderId="0" xfId="0" applyFont="1" applyBorder="1" applyAlignment="1" applyProtection="1">
      <alignment horizontal="left" vertical="top" wrapText="1"/>
    </xf>
    <xf numFmtId="0" fontId="17" fillId="0" borderId="43" xfId="0" applyFont="1" applyBorder="1" applyAlignment="1" applyProtection="1">
      <alignment horizontal="left" vertical="top" wrapText="1"/>
    </xf>
    <xf numFmtId="0" fontId="17" fillId="0" borderId="12" xfId="0" applyFont="1" applyBorder="1" applyAlignment="1" applyProtection="1">
      <alignment horizontal="left" vertical="top" wrapText="1"/>
    </xf>
    <xf numFmtId="0" fontId="17" fillId="0" borderId="13" xfId="0" applyFont="1" applyBorder="1" applyAlignment="1" applyProtection="1">
      <alignment horizontal="left" vertical="top" wrapText="1"/>
    </xf>
    <xf numFmtId="0" fontId="17" fillId="0" borderId="14" xfId="0" applyFont="1" applyBorder="1" applyAlignment="1" applyProtection="1">
      <alignment horizontal="left" vertical="top" wrapText="1"/>
    </xf>
    <xf numFmtId="0" fontId="13" fillId="0" borderId="0" xfId="0" applyFont="1" applyFill="1" applyBorder="1" applyAlignment="1" applyProtection="1">
      <alignment horizontal="center" vertical="top"/>
    </xf>
    <xf numFmtId="0" fontId="13" fillId="7" borderId="0" xfId="0" applyFont="1" applyFill="1" applyBorder="1" applyAlignment="1" applyProtection="1">
      <alignment horizontal="center" vertical="top"/>
    </xf>
    <xf numFmtId="0" fontId="13" fillId="4" borderId="0" xfId="0" applyFont="1" applyFill="1" applyBorder="1" applyAlignment="1" applyProtection="1">
      <alignment horizontal="center" vertical="top"/>
    </xf>
    <xf numFmtId="0" fontId="13" fillId="5" borderId="0" xfId="0" applyFont="1" applyFill="1" applyBorder="1" applyAlignment="1" applyProtection="1">
      <alignment horizontal="center" vertical="top"/>
      <protection locked="0"/>
    </xf>
    <xf numFmtId="0" fontId="13" fillId="0" borderId="1" xfId="0" applyFont="1" applyBorder="1" applyAlignment="1">
      <alignment vertical="top" wrapText="1"/>
    </xf>
    <xf numFmtId="0" fontId="0" fillId="0" borderId="1" xfId="0" applyBorder="1" applyAlignment="1"/>
    <xf numFmtId="0" fontId="13" fillId="0" borderId="0" xfId="0" applyFont="1" applyFill="1" applyBorder="1" applyAlignment="1" applyProtection="1">
      <alignment horizontal="left" vertical="top" wrapText="1"/>
    </xf>
    <xf numFmtId="0" fontId="12" fillId="0" borderId="1" xfId="0" applyFont="1" applyBorder="1" applyAlignment="1">
      <alignment horizontal="center" vertical="top" wrapText="1"/>
    </xf>
    <xf numFmtId="0" fontId="0" fillId="0" borderId="1" xfId="0" applyBorder="1" applyAlignment="1">
      <alignment wrapText="1"/>
    </xf>
    <xf numFmtId="0" fontId="0" fillId="0" borderId="1" xfId="0" applyBorder="1" applyAlignment="1">
      <alignment vertical="top" wrapText="1"/>
    </xf>
    <xf numFmtId="0" fontId="60" fillId="6" borderId="7" xfId="0" applyFont="1" applyFill="1" applyBorder="1" applyAlignment="1" applyProtection="1">
      <alignment horizontal="left" wrapText="1"/>
    </xf>
    <xf numFmtId="0" fontId="60" fillId="6" borderId="8" xfId="0" applyFont="1" applyFill="1" applyBorder="1" applyAlignment="1" applyProtection="1">
      <alignment horizontal="left"/>
    </xf>
    <xf numFmtId="0" fontId="60" fillId="6" borderId="58" xfId="0" applyFont="1" applyFill="1" applyBorder="1" applyAlignment="1" applyProtection="1">
      <alignment horizontal="left"/>
    </xf>
    <xf numFmtId="169" fontId="63" fillId="10" borderId="1" xfId="4" applyNumberFormat="1" applyFont="1" applyFill="1" applyBorder="1" applyAlignment="1" applyProtection="1">
      <alignment horizontal="left" vertical="center" wrapText="1"/>
    </xf>
    <xf numFmtId="0" fontId="24" fillId="0" borderId="0" xfId="0" applyFont="1" applyAlignment="1" applyProtection="1">
      <alignment horizontal="left" wrapText="1"/>
    </xf>
    <xf numFmtId="0" fontId="24" fillId="0" borderId="0" xfId="0" applyFont="1" applyAlignment="1" applyProtection="1">
      <alignment horizontal="left" vertical="center" wrapText="1"/>
    </xf>
    <xf numFmtId="0" fontId="24" fillId="0" borderId="0" xfId="0" applyFont="1" applyBorder="1" applyAlignment="1" applyProtection="1">
      <alignment horizontal="center" vertical="center" wrapText="1"/>
    </xf>
    <xf numFmtId="0" fontId="78" fillId="9" borderId="7" xfId="0" applyFont="1" applyFill="1" applyBorder="1" applyAlignment="1" applyProtection="1">
      <alignment horizontal="left"/>
    </xf>
    <xf numFmtId="0" fontId="78" fillId="9" borderId="8" xfId="0" applyFont="1" applyFill="1" applyBorder="1" applyAlignment="1" applyProtection="1">
      <alignment horizontal="left"/>
    </xf>
    <xf numFmtId="0" fontId="78" fillId="9" borderId="58" xfId="0" applyFont="1" applyFill="1" applyBorder="1" applyAlignment="1" applyProtection="1">
      <alignment horizontal="left"/>
    </xf>
    <xf numFmtId="0" fontId="24" fillId="0" borderId="0" xfId="0" applyFont="1" applyFill="1" applyBorder="1" applyAlignment="1" applyProtection="1">
      <alignment horizontal="left" wrapText="1"/>
    </xf>
    <xf numFmtId="0" fontId="24" fillId="0" borderId="0" xfId="0" applyFont="1" applyFill="1" applyBorder="1" applyAlignment="1" applyProtection="1">
      <alignment horizontal="center" wrapText="1"/>
    </xf>
    <xf numFmtId="0" fontId="24" fillId="0" borderId="0" xfId="0" applyFont="1" applyFill="1" applyAlignment="1" applyProtection="1">
      <alignment horizontal="left" wrapText="1"/>
    </xf>
    <xf numFmtId="0" fontId="30" fillId="0" borderId="4" xfId="0" applyFont="1" applyBorder="1" applyAlignment="1" applyProtection="1">
      <alignment horizontal="center" wrapText="1"/>
    </xf>
    <xf numFmtId="0" fontId="30" fillId="0" borderId="5" xfId="0" applyFont="1" applyBorder="1" applyAlignment="1" applyProtection="1">
      <alignment horizontal="center" wrapText="1"/>
    </xf>
    <xf numFmtId="0" fontId="30" fillId="0" borderId="6" xfId="0" applyFont="1" applyBorder="1" applyAlignment="1" applyProtection="1">
      <alignment horizontal="center" wrapText="1"/>
    </xf>
    <xf numFmtId="2" fontId="43" fillId="13" borderId="0" xfId="0" applyNumberFormat="1" applyFont="1" applyFill="1" applyBorder="1" applyAlignment="1" applyProtection="1">
      <alignment horizontal="left" vertical="center" wrapText="1"/>
    </xf>
    <xf numFmtId="0" fontId="26" fillId="0" borderId="0" xfId="0" applyFont="1" applyBorder="1" applyAlignment="1" applyProtection="1">
      <alignment horizontal="left" vertical="top" wrapText="1"/>
    </xf>
    <xf numFmtId="0" fontId="65" fillId="0" borderId="33" xfId="0" applyFont="1" applyBorder="1" applyAlignment="1" applyProtection="1">
      <alignment horizontal="left" vertical="center" wrapText="1"/>
      <protection hidden="1"/>
    </xf>
    <xf numFmtId="0" fontId="65" fillId="0" borderId="31" xfId="0" applyFont="1" applyBorder="1" applyAlignment="1" applyProtection="1">
      <alignment horizontal="left" vertical="center" wrapText="1"/>
      <protection hidden="1"/>
    </xf>
    <xf numFmtId="0" fontId="65" fillId="0" borderId="20" xfId="0" applyFont="1" applyBorder="1" applyAlignment="1" applyProtection="1">
      <alignment horizontal="left" vertical="center" wrapText="1"/>
      <protection hidden="1"/>
    </xf>
    <xf numFmtId="0" fontId="24" fillId="0" borderId="0" xfId="0" applyFont="1" applyBorder="1" applyAlignment="1" applyProtection="1">
      <alignment horizontal="left" wrapText="1"/>
    </xf>
    <xf numFmtId="2" fontId="26" fillId="0" borderId="31" xfId="0" applyNumberFormat="1" applyFont="1" applyBorder="1" applyAlignment="1" applyProtection="1">
      <alignment horizontal="center" vertical="center" wrapText="1"/>
      <protection hidden="1"/>
    </xf>
    <xf numFmtId="2" fontId="26" fillId="0" borderId="20" xfId="0" applyNumberFormat="1" applyFont="1" applyBorder="1" applyAlignment="1" applyProtection="1">
      <alignment horizontal="center" vertical="center" wrapText="1"/>
      <protection hidden="1"/>
    </xf>
    <xf numFmtId="0" fontId="24" fillId="0" borderId="37" xfId="0" applyFont="1" applyBorder="1" applyAlignment="1">
      <alignment horizontal="left" vertical="center" wrapText="1"/>
    </xf>
    <xf numFmtId="0" fontId="24" fillId="0" borderId="1" xfId="0" applyFont="1" applyBorder="1" applyAlignment="1">
      <alignment horizontal="left" vertical="center" wrapText="1"/>
    </xf>
    <xf numFmtId="0" fontId="24" fillId="0" borderId="2" xfId="0" applyFont="1" applyFill="1" applyBorder="1" applyAlignment="1" applyProtection="1">
      <alignment horizontal="left" wrapText="1"/>
    </xf>
    <xf numFmtId="0" fontId="48" fillId="0" borderId="0" xfId="0" applyFont="1" applyFill="1" applyBorder="1" applyAlignment="1">
      <alignment horizontal="left" wrapText="1"/>
    </xf>
    <xf numFmtId="0" fontId="30" fillId="0" borderId="36" xfId="0" applyFont="1" applyFill="1" applyBorder="1" applyAlignment="1" applyProtection="1">
      <alignment horizontal="center" wrapText="1"/>
      <protection hidden="1"/>
    </xf>
    <xf numFmtId="0" fontId="30" fillId="0" borderId="13" xfId="0" applyFont="1" applyFill="1" applyBorder="1" applyAlignment="1" applyProtection="1">
      <alignment horizontal="center" wrapText="1"/>
      <protection hidden="1"/>
    </xf>
    <xf numFmtId="0" fontId="24" fillId="0" borderId="46" xfId="0" applyFont="1" applyBorder="1" applyAlignment="1">
      <alignment horizontal="center" vertical="center" wrapText="1"/>
    </xf>
    <xf numFmtId="0" fontId="24" fillId="0" borderId="41" xfId="0" applyFont="1" applyBorder="1" applyAlignment="1">
      <alignment horizontal="center" vertical="center" wrapText="1"/>
    </xf>
    <xf numFmtId="0" fontId="24" fillId="0" borderId="42"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0" xfId="0" applyFont="1" applyAlignment="1">
      <alignment horizontal="center" vertical="center" wrapText="1"/>
    </xf>
    <xf numFmtId="0" fontId="24" fillId="0" borderId="43"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50" fillId="0" borderId="33" xfId="0" applyFont="1" applyBorder="1" applyAlignment="1" applyProtection="1">
      <alignment horizontal="center" vertical="center" wrapText="1"/>
      <protection hidden="1"/>
    </xf>
    <xf numFmtId="0" fontId="50" fillId="0" borderId="31" xfId="0" applyFont="1" applyBorder="1" applyAlignment="1" applyProtection="1">
      <alignment horizontal="center" vertical="center" wrapText="1"/>
      <protection hidden="1"/>
    </xf>
    <xf numFmtId="0" fontId="50" fillId="0" borderId="20" xfId="0" applyFont="1" applyBorder="1" applyAlignment="1" applyProtection="1">
      <alignment horizontal="center" vertical="center" wrapText="1"/>
      <protection hidden="1"/>
    </xf>
    <xf numFmtId="0" fontId="78" fillId="9" borderId="41" xfId="0" applyFont="1" applyFill="1" applyBorder="1" applyAlignment="1" applyProtection="1">
      <alignment horizontal="left"/>
    </xf>
    <xf numFmtId="0" fontId="46" fillId="0" borderId="0" xfId="0" applyFont="1" applyAlignment="1" applyProtection="1">
      <alignment horizontal="left" wrapText="1"/>
    </xf>
    <xf numFmtId="0" fontId="24" fillId="0" borderId="1" xfId="0" applyFont="1" applyBorder="1" applyAlignment="1">
      <alignment horizontal="left" wrapText="1"/>
    </xf>
    <xf numFmtId="0" fontId="5" fillId="9" borderId="0" xfId="0" applyFont="1" applyFill="1" applyAlignment="1" applyProtection="1">
      <alignment horizontal="center"/>
    </xf>
    <xf numFmtId="0" fontId="5" fillId="9" borderId="0" xfId="0" applyFont="1" applyFill="1" applyAlignment="1" applyProtection="1">
      <alignment horizontal="center" wrapText="1"/>
    </xf>
    <xf numFmtId="0" fontId="0" fillId="9" borderId="0" xfId="0" applyFill="1" applyAlignment="1" applyProtection="1">
      <alignment horizontal="center" wrapText="1"/>
    </xf>
    <xf numFmtId="0" fontId="0" fillId="9" borderId="15" xfId="0" applyFill="1" applyBorder="1" applyAlignment="1" applyProtection="1">
      <alignment horizontal="center"/>
    </xf>
    <xf numFmtId="0" fontId="0" fillId="9" borderId="10" xfId="0" applyFill="1" applyBorder="1" applyAlignment="1" applyProtection="1">
      <alignment horizontal="center"/>
    </xf>
    <xf numFmtId="0" fontId="0" fillId="9" borderId="65" xfId="0" applyFill="1" applyBorder="1" applyAlignment="1" applyProtection="1">
      <alignment horizontal="center"/>
    </xf>
    <xf numFmtId="0" fontId="5" fillId="9" borderId="15" xfId="0" applyFont="1" applyFill="1" applyBorder="1" applyAlignment="1" applyProtection="1">
      <alignment horizontal="center"/>
    </xf>
    <xf numFmtId="0" fontId="5" fillId="9" borderId="10" xfId="0" applyFont="1" applyFill="1" applyBorder="1" applyAlignment="1" applyProtection="1">
      <alignment horizontal="center"/>
    </xf>
    <xf numFmtId="0" fontId="5" fillId="9" borderId="65" xfId="0" applyFont="1" applyFill="1" applyBorder="1" applyAlignment="1" applyProtection="1">
      <alignment horizontal="center"/>
    </xf>
    <xf numFmtId="0" fontId="5" fillId="9" borderId="21" xfId="0" applyFont="1" applyFill="1" applyBorder="1" applyAlignment="1" applyProtection="1">
      <alignment horizontal="center"/>
    </xf>
    <xf numFmtId="0" fontId="71" fillId="0" borderId="15" xfId="10" applyFont="1" applyBorder="1" applyAlignment="1">
      <alignment horizontal="center" vertical="center"/>
    </xf>
    <xf numFmtId="0" fontId="71" fillId="0" borderId="60" xfId="10" applyFont="1" applyBorder="1" applyAlignment="1">
      <alignment horizontal="center" vertical="center"/>
    </xf>
    <xf numFmtId="0" fontId="70" fillId="18" borderId="62" xfId="10" applyFont="1" applyFill="1" applyBorder="1" applyAlignment="1">
      <alignment horizontal="center" wrapText="1"/>
    </xf>
    <xf numFmtId="0" fontId="70" fillId="18" borderId="10" xfId="10" applyFont="1" applyFill="1" applyBorder="1" applyAlignment="1">
      <alignment horizontal="center" wrapText="1"/>
    </xf>
    <xf numFmtId="0" fontId="70" fillId="18" borderId="65" xfId="10" applyFont="1" applyFill="1" applyBorder="1" applyAlignment="1">
      <alignment horizontal="center" wrapText="1"/>
    </xf>
    <xf numFmtId="0" fontId="70" fillId="18" borderId="21" xfId="10" applyFont="1" applyFill="1" applyBorder="1" applyAlignment="1">
      <alignment horizontal="center" wrapText="1"/>
    </xf>
    <xf numFmtId="0" fontId="1" fillId="0" borderId="37" xfId="10" applyFont="1" applyBorder="1" applyAlignment="1">
      <alignment horizontal="center"/>
    </xf>
    <xf numFmtId="0" fontId="1" fillId="0" borderId="1" xfId="10" applyFont="1" applyBorder="1" applyAlignment="1">
      <alignment horizontal="center"/>
    </xf>
    <xf numFmtId="0" fontId="70" fillId="8" borderId="11" xfId="10" applyFont="1" applyFill="1" applyBorder="1" applyAlignment="1">
      <alignment horizontal="center" wrapText="1"/>
    </xf>
    <xf numFmtId="0" fontId="70" fillId="8" borderId="0" xfId="10" applyFont="1" applyFill="1" applyBorder="1" applyAlignment="1">
      <alignment horizontal="center" wrapText="1"/>
    </xf>
    <xf numFmtId="0" fontId="70" fillId="8" borderId="43" xfId="10" applyFont="1" applyFill="1" applyBorder="1" applyAlignment="1">
      <alignment horizontal="center" wrapText="1"/>
    </xf>
    <xf numFmtId="0" fontId="1" fillId="0" borderId="4" xfId="10" applyFont="1" applyBorder="1" applyAlignment="1">
      <alignment horizontal="center"/>
    </xf>
    <xf numFmtId="0" fontId="1" fillId="0" borderId="5" xfId="10" applyFont="1" applyBorder="1" applyAlignment="1">
      <alignment horizontal="center"/>
    </xf>
    <xf numFmtId="0" fontId="1" fillId="0" borderId="6" xfId="10" applyFont="1" applyBorder="1" applyAlignment="1">
      <alignment horizontal="center"/>
    </xf>
  </cellXfs>
  <cellStyles count="11">
    <cellStyle name="Calc" xfId="1" xr:uid="{00000000-0005-0000-0000-000000000000}"/>
    <cellStyle name="Comma" xfId="5" builtinId="3"/>
    <cellStyle name="Input" xfId="2" builtinId="20" customBuiltin="1"/>
    <cellStyle name="Normal" xfId="0" builtinId="0"/>
    <cellStyle name="Normal 2" xfId="7" xr:uid="{00000000-0005-0000-0000-000005000000}"/>
    <cellStyle name="Normal 2_Appendix C" xfId="6" xr:uid="{00000000-0005-0000-0000-000006000000}"/>
    <cellStyle name="Normal 4" xfId="10" xr:uid="{469988DD-7D16-4353-A21E-6134FDBF727D}"/>
    <cellStyle name="Normal_Appendix C" xfId="8" xr:uid="{00000000-0005-0000-0000-000007000000}"/>
    <cellStyle name="Normal_Input Sheet" xfId="9" xr:uid="{00000000-0005-0000-0000-000008000000}"/>
    <cellStyle name="Normal_Sap2005_draft" xfId="3" xr:uid="{00000000-0005-0000-0000-000009000000}"/>
    <cellStyle name="Percent" xfId="4" builtinId="5"/>
  </cellStyles>
  <dxfs count="193">
    <dxf>
      <fill>
        <patternFill>
          <bgColor theme="1" tint="0.24994659260841701"/>
        </patternFill>
      </fill>
    </dxf>
    <dxf>
      <fill>
        <patternFill>
          <bgColor theme="1" tint="0.24994659260841701"/>
        </patternFill>
      </fill>
    </dxf>
    <dxf>
      <font>
        <color theme="1"/>
      </font>
      <fill>
        <patternFill patternType="solid">
          <bgColor theme="1" tint="0.14996795556505021"/>
        </patternFill>
      </fill>
    </dxf>
    <dxf>
      <fill>
        <patternFill>
          <bgColor indexed="63"/>
        </patternFill>
      </fill>
    </dxf>
    <dxf>
      <font>
        <color theme="1"/>
      </font>
      <fill>
        <patternFill patternType="solid">
          <bgColor theme="1" tint="0.14996795556505021"/>
        </patternFill>
      </fill>
    </dxf>
    <dxf>
      <fill>
        <patternFill>
          <bgColor indexed="63"/>
        </patternFill>
      </fill>
    </dxf>
    <dxf>
      <font>
        <color rgb="FFFF0000"/>
      </font>
    </dxf>
    <dxf>
      <font>
        <color rgb="FFFF0000"/>
      </font>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ill>
        <patternFill>
          <bgColor theme="1"/>
        </patternFill>
      </fill>
    </dxf>
    <dxf>
      <font>
        <color rgb="FFFF0000"/>
      </font>
      <fill>
        <patternFill patternType="none">
          <bgColor auto="1"/>
        </patternFill>
      </fill>
    </dxf>
    <dxf>
      <font>
        <color rgb="FFFF0000"/>
      </font>
    </dxf>
    <dxf>
      <fill>
        <patternFill>
          <bgColor theme="1" tint="0.14996795556505021"/>
        </patternFill>
      </fill>
    </dxf>
    <dxf>
      <fill>
        <patternFill>
          <bgColor theme="1" tint="0.14996795556505021"/>
        </patternFill>
      </fill>
    </dxf>
    <dxf>
      <fill>
        <patternFill>
          <bgColor theme="1" tint="0.14996795556505021"/>
        </patternFill>
      </fill>
    </dxf>
    <dxf>
      <font>
        <color theme="1"/>
      </font>
      <fill>
        <patternFill>
          <bgColor theme="1" tint="0.14996795556505021"/>
        </patternFill>
      </fill>
    </dxf>
    <dxf>
      <fill>
        <patternFill>
          <bgColor indexed="63"/>
        </patternFill>
      </fill>
    </dxf>
    <dxf>
      <fill>
        <patternFill>
          <bgColor theme="1"/>
        </patternFill>
      </fill>
    </dxf>
    <dxf>
      <fill>
        <patternFill>
          <bgColor indexed="63"/>
        </patternFill>
      </fill>
    </dxf>
    <dxf>
      <font>
        <color theme="1"/>
      </font>
      <fill>
        <patternFill patternType="solid">
          <bgColor theme="1" tint="0.14996795556505021"/>
        </patternFill>
      </fill>
    </dxf>
    <dxf>
      <font>
        <color auto="1"/>
      </font>
      <fill>
        <patternFill>
          <bgColor theme="1" tint="0.14996795556505021"/>
        </patternFill>
      </fill>
    </dxf>
    <dxf>
      <fill>
        <patternFill>
          <bgColor theme="1" tint="0.24994659260841701"/>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rgb="FF333333"/>
        </patternFill>
      </fill>
    </dxf>
    <dxf>
      <fill>
        <patternFill>
          <bgColor indexed="63"/>
        </patternFill>
      </fill>
    </dxf>
    <dxf>
      <font>
        <color auto="1"/>
      </font>
      <fill>
        <patternFill>
          <bgColor rgb="FF333333"/>
        </patternFill>
      </fill>
    </dxf>
    <dxf>
      <font>
        <color theme="0"/>
      </font>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rgb="FF33333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ont>
        <color auto="1"/>
      </font>
      <fill>
        <patternFill>
          <bgColor indexed="63"/>
        </patternFill>
      </fill>
    </dxf>
    <dxf>
      <fill>
        <patternFill>
          <bgColor indexed="63"/>
        </patternFill>
      </fill>
    </dxf>
    <dxf>
      <fill>
        <patternFill>
          <bgColor indexed="63"/>
        </patternFill>
      </fill>
    </dxf>
    <dxf>
      <fill>
        <patternFill>
          <bgColor indexed="63"/>
        </patternFill>
      </fill>
    </dxf>
    <dxf>
      <fill>
        <patternFill>
          <bgColor theme="1" tint="0.24994659260841701"/>
        </patternFill>
      </fill>
    </dxf>
    <dxf>
      <fill>
        <patternFill>
          <bgColor theme="1" tint="0.24994659260841701"/>
        </patternFill>
      </fill>
    </dxf>
    <dxf>
      <font>
        <color theme="1"/>
      </font>
      <fill>
        <patternFill patternType="solid">
          <bgColor theme="1" tint="0.14996795556505021"/>
        </patternFill>
      </fill>
    </dxf>
    <dxf>
      <fill>
        <patternFill>
          <bgColor indexed="63"/>
        </patternFill>
      </fill>
    </dxf>
    <dxf>
      <font>
        <color theme="1"/>
      </font>
      <fill>
        <patternFill patternType="solid">
          <bgColor theme="1" tint="0.14996795556505021"/>
        </patternFill>
      </fill>
    </dxf>
    <dxf>
      <fill>
        <patternFill>
          <bgColor indexed="63"/>
        </patternFill>
      </fill>
    </dxf>
    <dxf>
      <font>
        <color rgb="FFFF0000"/>
      </font>
    </dxf>
    <dxf>
      <font>
        <color rgb="FFFF0000"/>
      </font>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ill>
        <patternFill>
          <bgColor theme="1"/>
        </patternFill>
      </fill>
    </dxf>
    <dxf>
      <font>
        <color rgb="FFFF0000"/>
      </font>
      <fill>
        <patternFill patternType="none">
          <bgColor auto="1"/>
        </patternFill>
      </fill>
    </dxf>
    <dxf>
      <font>
        <color rgb="FFFF0000"/>
      </font>
    </dxf>
    <dxf>
      <fill>
        <patternFill>
          <bgColor theme="1" tint="0.14996795556505021"/>
        </patternFill>
      </fill>
    </dxf>
    <dxf>
      <fill>
        <patternFill>
          <bgColor theme="1" tint="0.14996795556505021"/>
        </patternFill>
      </fill>
    </dxf>
    <dxf>
      <fill>
        <patternFill>
          <bgColor theme="1" tint="0.14996795556505021"/>
        </patternFill>
      </fill>
    </dxf>
    <dxf>
      <font>
        <color theme="1"/>
      </font>
      <fill>
        <patternFill>
          <bgColor theme="1" tint="0.14996795556505021"/>
        </patternFill>
      </fill>
    </dxf>
    <dxf>
      <fill>
        <patternFill>
          <bgColor indexed="63"/>
        </patternFill>
      </fill>
    </dxf>
    <dxf>
      <fill>
        <patternFill>
          <bgColor theme="1"/>
        </patternFill>
      </fill>
    </dxf>
    <dxf>
      <fill>
        <patternFill>
          <bgColor indexed="63"/>
        </patternFill>
      </fill>
    </dxf>
    <dxf>
      <font>
        <color theme="1"/>
      </font>
      <fill>
        <patternFill patternType="solid">
          <bgColor theme="1" tint="0.14996795556505021"/>
        </patternFill>
      </fill>
    </dxf>
    <dxf>
      <font>
        <color auto="1"/>
      </font>
      <fill>
        <patternFill>
          <bgColor theme="1" tint="0.14996795556505021"/>
        </patternFill>
      </fill>
    </dxf>
    <dxf>
      <fill>
        <patternFill>
          <bgColor theme="1" tint="0.24994659260841701"/>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rgb="FF333333"/>
        </patternFill>
      </fill>
    </dxf>
    <dxf>
      <fill>
        <patternFill>
          <bgColor indexed="63"/>
        </patternFill>
      </fill>
    </dxf>
    <dxf>
      <font>
        <color auto="1"/>
      </font>
      <fill>
        <patternFill>
          <bgColor rgb="FF333333"/>
        </patternFill>
      </fill>
    </dxf>
    <dxf>
      <font>
        <color theme="0"/>
      </font>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rgb="FF33333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ont>
        <color auto="1"/>
      </font>
      <fill>
        <patternFill>
          <bgColor indexed="63"/>
        </patternFill>
      </fill>
    </dxf>
    <dxf>
      <fill>
        <patternFill>
          <bgColor indexed="63"/>
        </patternFill>
      </fill>
    </dxf>
    <dxf>
      <fill>
        <patternFill>
          <bgColor indexed="63"/>
        </patternFill>
      </fill>
    </dxf>
    <dxf>
      <fill>
        <patternFill>
          <bgColor indexed="63"/>
        </patternFill>
      </fill>
    </dxf>
    <dxf>
      <fill>
        <patternFill>
          <bgColor theme="1" tint="0.24994659260841701"/>
        </patternFill>
      </fill>
    </dxf>
    <dxf>
      <fill>
        <patternFill>
          <bgColor theme="1" tint="0.24994659260841701"/>
        </patternFill>
      </fill>
    </dxf>
    <dxf>
      <font>
        <color theme="1"/>
      </font>
      <fill>
        <patternFill patternType="solid">
          <bgColor theme="1" tint="0.14996795556505021"/>
        </patternFill>
      </fill>
    </dxf>
    <dxf>
      <fill>
        <patternFill>
          <bgColor indexed="63"/>
        </patternFill>
      </fill>
    </dxf>
    <dxf>
      <font>
        <color theme="1"/>
      </font>
      <fill>
        <patternFill patternType="solid">
          <bgColor theme="1" tint="0.14996795556505021"/>
        </patternFill>
      </fill>
    </dxf>
    <dxf>
      <fill>
        <patternFill>
          <bgColor indexed="63"/>
        </patternFill>
      </fill>
    </dxf>
    <dxf>
      <font>
        <color rgb="FFFF0000"/>
      </font>
    </dxf>
    <dxf>
      <font>
        <color rgb="FFFF0000"/>
      </font>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ont>
        <color auto="1"/>
      </font>
      <fill>
        <patternFill>
          <bgColor theme="1" tint="0.14996795556505021"/>
        </patternFill>
      </fill>
    </dxf>
    <dxf>
      <font>
        <color auto="1"/>
      </font>
      <fill>
        <patternFill>
          <bgColor indexed="63"/>
        </patternFill>
      </fill>
    </dxf>
    <dxf>
      <fill>
        <patternFill>
          <bgColor theme="1"/>
        </patternFill>
      </fill>
    </dxf>
    <dxf>
      <font>
        <color rgb="FFFF0000"/>
      </font>
      <fill>
        <patternFill patternType="none">
          <bgColor auto="1"/>
        </patternFill>
      </fill>
    </dxf>
    <dxf>
      <font>
        <color rgb="FFFF0000"/>
      </font>
    </dxf>
    <dxf>
      <fill>
        <patternFill>
          <bgColor theme="1" tint="0.14996795556505021"/>
        </patternFill>
      </fill>
    </dxf>
    <dxf>
      <fill>
        <patternFill>
          <bgColor theme="1" tint="0.14996795556505021"/>
        </patternFill>
      </fill>
    </dxf>
    <dxf>
      <fill>
        <patternFill>
          <bgColor theme="1" tint="0.14996795556505021"/>
        </patternFill>
      </fill>
    </dxf>
    <dxf>
      <font>
        <color theme="1"/>
      </font>
      <fill>
        <patternFill>
          <bgColor theme="1" tint="0.14996795556505021"/>
        </patternFill>
      </fill>
    </dxf>
    <dxf>
      <fill>
        <patternFill>
          <bgColor indexed="63"/>
        </patternFill>
      </fill>
    </dxf>
    <dxf>
      <fill>
        <patternFill>
          <bgColor theme="1"/>
        </patternFill>
      </fill>
    </dxf>
    <dxf>
      <fill>
        <patternFill>
          <bgColor indexed="63"/>
        </patternFill>
      </fill>
    </dxf>
    <dxf>
      <font>
        <color theme="1"/>
      </font>
      <fill>
        <patternFill patternType="solid">
          <bgColor theme="1" tint="0.14996795556505021"/>
        </patternFill>
      </fill>
    </dxf>
    <dxf>
      <font>
        <color auto="1"/>
      </font>
      <fill>
        <patternFill>
          <bgColor theme="1" tint="0.14996795556505021"/>
        </patternFill>
      </fill>
    </dxf>
    <dxf>
      <fill>
        <patternFill>
          <bgColor theme="1" tint="0.24994659260841701"/>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rgb="FF333333"/>
        </patternFill>
      </fill>
    </dxf>
    <dxf>
      <fill>
        <patternFill>
          <bgColor indexed="63"/>
        </patternFill>
      </fill>
    </dxf>
    <dxf>
      <font>
        <color auto="1"/>
      </font>
      <fill>
        <patternFill>
          <bgColor rgb="FF333333"/>
        </patternFill>
      </fill>
    </dxf>
    <dxf>
      <font>
        <color theme="0"/>
      </font>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rgb="FF33333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ont>
        <color auto="1"/>
      </font>
      <fill>
        <patternFill>
          <bgColor indexed="63"/>
        </patternFill>
      </fill>
    </dxf>
    <dxf>
      <fill>
        <patternFill>
          <bgColor indexed="63"/>
        </patternFill>
      </fill>
    </dxf>
    <dxf>
      <fill>
        <patternFill>
          <bgColor indexed="63"/>
        </patternFill>
      </fill>
    </dxf>
    <dxf>
      <fill>
        <patternFill>
          <bgColor indexed="63"/>
        </patternFill>
      </fill>
    </dxf>
    <dxf>
      <font>
        <color rgb="FFFF0000"/>
      </font>
    </dxf>
    <dxf>
      <fill>
        <patternFill>
          <bgColor theme="1" tint="0.24994659260841701"/>
        </patternFill>
      </fill>
    </dxf>
    <dxf>
      <fill>
        <patternFill>
          <bgColor theme="1" tint="0.24994659260841701"/>
        </patternFill>
      </fill>
    </dxf>
    <dxf>
      <font>
        <color rgb="FFFF0000"/>
      </font>
    </dxf>
    <dxf>
      <font>
        <color rgb="FFFF0000"/>
      </font>
    </dxf>
    <dxf>
      <font>
        <color auto="1"/>
      </font>
      <fill>
        <patternFill patternType="solid">
          <bgColor indexed="63"/>
        </patternFill>
      </fill>
    </dxf>
    <dxf>
      <fill>
        <patternFill>
          <bgColor theme="1" tint="0.24994659260841701"/>
        </patternFill>
      </fill>
    </dxf>
  </dxfs>
  <tableStyles count="0" defaultTableStyle="TableStyleMedium9" defaultPivotStyle="PivotStyleLight16"/>
  <colors>
    <mruColors>
      <color rgb="FFCCFFFF"/>
      <color rgb="FF66FFFF"/>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haredStrings" Target="sharedStrings.xml"/><Relationship Id="rId30"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HeatingCalc_1!$AF$5:$AF$11</c:f>
              <c:numCache>
                <c:formatCode>General</c:formatCode>
                <c:ptCount val="7"/>
                <c:pt idx="0">
                  <c:v>0.2</c:v>
                </c:pt>
                <c:pt idx="1">
                  <c:v>0.25</c:v>
                </c:pt>
                <c:pt idx="2">
                  <c:v>0.3</c:v>
                </c:pt>
                <c:pt idx="3">
                  <c:v>0.35</c:v>
                </c:pt>
                <c:pt idx="4">
                  <c:v>0.4</c:v>
                </c:pt>
                <c:pt idx="5">
                  <c:v>0.45</c:v>
                </c:pt>
                <c:pt idx="6">
                  <c:v>0.5</c:v>
                </c:pt>
              </c:numCache>
            </c:numRef>
          </c:xVal>
          <c:yVal>
            <c:numRef>
              <c:f>HeatingCalc_1!$AG$5:$AG$11</c:f>
              <c:numCache>
                <c:formatCode>General</c:formatCode>
                <c:ptCount val="7"/>
                <c:pt idx="0">
                  <c:v>0.4</c:v>
                </c:pt>
                <c:pt idx="1">
                  <c:v>0.28000000000000003</c:v>
                </c:pt>
                <c:pt idx="2">
                  <c:v>0.19</c:v>
                </c:pt>
                <c:pt idx="3">
                  <c:v>0.12</c:v>
                </c:pt>
                <c:pt idx="4">
                  <c:v>0.06</c:v>
                </c:pt>
                <c:pt idx="5">
                  <c:v>0.03</c:v>
                </c:pt>
                <c:pt idx="6">
                  <c:v>0.01</c:v>
                </c:pt>
              </c:numCache>
            </c:numRef>
          </c:yVal>
          <c:smooth val="0"/>
          <c:extLst>
            <c:ext xmlns:c16="http://schemas.microsoft.com/office/drawing/2014/chart" uri="{C3380CC4-5D6E-409C-BE32-E72D297353CC}">
              <c16:uniqueId val="{00000001-162E-4BF1-B654-3B242D45F76B}"/>
            </c:ext>
          </c:extLst>
        </c:ser>
        <c:dLbls>
          <c:showLegendKey val="0"/>
          <c:showVal val="0"/>
          <c:showCatName val="0"/>
          <c:showSerName val="0"/>
          <c:showPercent val="0"/>
          <c:showBubbleSize val="0"/>
        </c:dLbls>
        <c:axId val="369700680"/>
        <c:axId val="369701072"/>
      </c:scatterChart>
      <c:valAx>
        <c:axId val="369700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1072"/>
        <c:crosses val="autoZero"/>
        <c:crossBetween val="midCat"/>
      </c:valAx>
      <c:valAx>
        <c:axId val="369701072"/>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0680"/>
        <c:crosses val="autoZero"/>
        <c:crossBetween val="midCat"/>
      </c:valAx>
    </c:plotArea>
    <c:legend>
      <c:legendPos val="r"/>
      <c:layout>
        <c:manualLayout>
          <c:xMode val="edge"/>
          <c:yMode val="edge"/>
          <c:x val="0.73640242588179294"/>
          <c:y val="0.41463414634146339"/>
          <c:w val="0.24267807216559084"/>
          <c:h val="0.1672473867595819"/>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layout>
                <c:manualLayout>
                  <c:x val="0.24476377952755909"/>
                  <c:y val="-0.67010790317876956"/>
                </c:manualLayout>
              </c:layout>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HeatingCalc_1!$AF$5:$AF$15</c:f>
              <c:numCache>
                <c:formatCode>General</c:formatCode>
                <c:ptCount val="11"/>
                <c:pt idx="0">
                  <c:v>0.2</c:v>
                </c:pt>
                <c:pt idx="1">
                  <c:v>0.25</c:v>
                </c:pt>
                <c:pt idx="2">
                  <c:v>0.3</c:v>
                </c:pt>
                <c:pt idx="3">
                  <c:v>0.35</c:v>
                </c:pt>
                <c:pt idx="4">
                  <c:v>0.4</c:v>
                </c:pt>
                <c:pt idx="5">
                  <c:v>0.45</c:v>
                </c:pt>
                <c:pt idx="6">
                  <c:v>0.5</c:v>
                </c:pt>
                <c:pt idx="7">
                  <c:v>0.55000000000000004</c:v>
                </c:pt>
                <c:pt idx="8">
                  <c:v>0.6</c:v>
                </c:pt>
                <c:pt idx="9">
                  <c:v>0.65</c:v>
                </c:pt>
                <c:pt idx="10">
                  <c:v>0.7</c:v>
                </c:pt>
              </c:numCache>
            </c:numRef>
          </c:xVal>
          <c:yVal>
            <c:numRef>
              <c:f>HeatingCalc_1!$AH$5:$AH$15</c:f>
              <c:numCache>
                <c:formatCode>General</c:formatCode>
                <c:ptCount val="11"/>
                <c:pt idx="0">
                  <c:v>0.53</c:v>
                </c:pt>
                <c:pt idx="1">
                  <c:v>0.43</c:v>
                </c:pt>
                <c:pt idx="2">
                  <c:v>0.34</c:v>
                </c:pt>
                <c:pt idx="3">
                  <c:v>0.27</c:v>
                </c:pt>
                <c:pt idx="4">
                  <c:v>0.2</c:v>
                </c:pt>
                <c:pt idx="5">
                  <c:v>0.14000000000000001</c:v>
                </c:pt>
                <c:pt idx="6">
                  <c:v>0.09</c:v>
                </c:pt>
                <c:pt idx="7">
                  <c:v>0.06</c:v>
                </c:pt>
                <c:pt idx="8">
                  <c:v>0.03</c:v>
                </c:pt>
                <c:pt idx="9">
                  <c:v>0.02</c:v>
                </c:pt>
                <c:pt idx="10">
                  <c:v>0.01</c:v>
                </c:pt>
              </c:numCache>
            </c:numRef>
          </c:yVal>
          <c:smooth val="0"/>
          <c:extLst>
            <c:ext xmlns:c16="http://schemas.microsoft.com/office/drawing/2014/chart" uri="{C3380CC4-5D6E-409C-BE32-E72D297353CC}">
              <c16:uniqueId val="{00000001-89E7-4949-8A2F-CCBC0C50C391}"/>
            </c:ext>
          </c:extLst>
        </c:ser>
        <c:dLbls>
          <c:showLegendKey val="0"/>
          <c:showVal val="0"/>
          <c:showCatName val="0"/>
          <c:showSerName val="0"/>
          <c:showPercent val="0"/>
          <c:showBubbleSize val="0"/>
        </c:dLbls>
        <c:axId val="369703032"/>
        <c:axId val="369705384"/>
      </c:scatterChart>
      <c:valAx>
        <c:axId val="369703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5384"/>
        <c:crosses val="autoZero"/>
        <c:crossBetween val="midCat"/>
      </c:valAx>
      <c:valAx>
        <c:axId val="369705384"/>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3032"/>
        <c:crosses val="autoZero"/>
        <c:crossBetween val="midCat"/>
      </c:valAx>
    </c:plotArea>
    <c:legend>
      <c:legendPos val="r"/>
      <c:layout>
        <c:manualLayout>
          <c:xMode val="edge"/>
          <c:yMode val="edge"/>
          <c:x val="0.73640242588179294"/>
          <c:y val="0.41403650642991513"/>
          <c:w val="0.24267807216559084"/>
          <c:h val="0.16842162973420277"/>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layout>
                <c:manualLayout>
                  <c:x val="0.30920997375328096"/>
                  <c:y val="-0.68399679206765818"/>
                </c:manualLayout>
              </c:layout>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HeatingCalc_1!$AF$5:$AF$21</c:f>
              <c:numCache>
                <c:formatCode>General</c:formatCode>
                <c:ptCount val="17"/>
                <c:pt idx="0">
                  <c:v>0.2</c:v>
                </c:pt>
                <c:pt idx="1">
                  <c:v>0.25</c:v>
                </c:pt>
                <c:pt idx="2">
                  <c:v>0.3</c:v>
                </c:pt>
                <c:pt idx="3">
                  <c:v>0.35</c:v>
                </c:pt>
                <c:pt idx="4">
                  <c:v>0.4</c:v>
                </c:pt>
                <c:pt idx="5">
                  <c:v>0.45</c:v>
                </c:pt>
                <c:pt idx="6">
                  <c:v>0.5</c:v>
                </c:pt>
                <c:pt idx="7">
                  <c:v>0.55000000000000004</c:v>
                </c:pt>
                <c:pt idx="8">
                  <c:v>0.6</c:v>
                </c:pt>
                <c:pt idx="9">
                  <c:v>0.65</c:v>
                </c:pt>
                <c:pt idx="10">
                  <c:v>0.7</c:v>
                </c:pt>
                <c:pt idx="11">
                  <c:v>0.75</c:v>
                </c:pt>
                <c:pt idx="12">
                  <c:v>0.8</c:v>
                </c:pt>
                <c:pt idx="13">
                  <c:v>0.85</c:v>
                </c:pt>
                <c:pt idx="14">
                  <c:v>0.9</c:v>
                </c:pt>
                <c:pt idx="15">
                  <c:v>0.95</c:v>
                </c:pt>
                <c:pt idx="16">
                  <c:v>1</c:v>
                </c:pt>
              </c:numCache>
            </c:numRef>
          </c:xVal>
          <c:yVal>
            <c:numRef>
              <c:f>HeatingCalc_1!$AI$5:$AI$21</c:f>
              <c:numCache>
                <c:formatCode>General</c:formatCode>
                <c:ptCount val="17"/>
                <c:pt idx="0">
                  <c:v>0.64</c:v>
                </c:pt>
                <c:pt idx="1">
                  <c:v>0.56999999999999995</c:v>
                </c:pt>
                <c:pt idx="2">
                  <c:v>0.49</c:v>
                </c:pt>
                <c:pt idx="3">
                  <c:v>0.42</c:v>
                </c:pt>
                <c:pt idx="4">
                  <c:v>0.35</c:v>
                </c:pt>
                <c:pt idx="5">
                  <c:v>0.28999999999999998</c:v>
                </c:pt>
                <c:pt idx="6">
                  <c:v>0.24</c:v>
                </c:pt>
                <c:pt idx="7">
                  <c:v>0.19</c:v>
                </c:pt>
                <c:pt idx="8">
                  <c:v>0.15</c:v>
                </c:pt>
                <c:pt idx="9">
                  <c:v>0.11</c:v>
                </c:pt>
                <c:pt idx="10">
                  <c:v>0.09</c:v>
                </c:pt>
                <c:pt idx="11">
                  <c:v>0.05</c:v>
                </c:pt>
                <c:pt idx="12">
                  <c:v>0.05</c:v>
                </c:pt>
                <c:pt idx="13">
                  <c:v>0.03</c:v>
                </c:pt>
                <c:pt idx="14">
                  <c:v>0.02</c:v>
                </c:pt>
                <c:pt idx="15">
                  <c:v>0.01</c:v>
                </c:pt>
                <c:pt idx="16">
                  <c:v>0.01</c:v>
                </c:pt>
              </c:numCache>
            </c:numRef>
          </c:yVal>
          <c:smooth val="0"/>
          <c:extLst>
            <c:ext xmlns:c16="http://schemas.microsoft.com/office/drawing/2014/chart" uri="{C3380CC4-5D6E-409C-BE32-E72D297353CC}">
              <c16:uniqueId val="{00000001-2BD7-42E8-B2E6-84B9F5A19F4C}"/>
            </c:ext>
          </c:extLst>
        </c:ser>
        <c:dLbls>
          <c:showLegendKey val="0"/>
          <c:showVal val="0"/>
          <c:showCatName val="0"/>
          <c:showSerName val="0"/>
          <c:showPercent val="0"/>
          <c:showBubbleSize val="0"/>
        </c:dLbls>
        <c:axId val="369703816"/>
        <c:axId val="369705776"/>
      </c:scatterChart>
      <c:valAx>
        <c:axId val="369703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5776"/>
        <c:crosses val="autoZero"/>
        <c:crossBetween val="midCat"/>
      </c:valAx>
      <c:valAx>
        <c:axId val="369705776"/>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3816"/>
        <c:crosses val="autoZero"/>
        <c:crossBetween val="midCat"/>
      </c:valAx>
    </c:plotArea>
    <c:legend>
      <c:legendPos val="r"/>
      <c:layout>
        <c:manualLayout>
          <c:xMode val="edge"/>
          <c:yMode val="edge"/>
          <c:x val="0.73640242588179294"/>
          <c:y val="0.41319584552627742"/>
          <c:w val="0.24267807216559084"/>
          <c:h val="0.16666723180891863"/>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HeatingCalc_2!$AF$5:$AF$11</c:f>
              <c:numCache>
                <c:formatCode>General</c:formatCode>
                <c:ptCount val="7"/>
                <c:pt idx="0">
                  <c:v>0.2</c:v>
                </c:pt>
                <c:pt idx="1">
                  <c:v>0.25</c:v>
                </c:pt>
                <c:pt idx="2">
                  <c:v>0.3</c:v>
                </c:pt>
                <c:pt idx="3">
                  <c:v>0.35</c:v>
                </c:pt>
                <c:pt idx="4">
                  <c:v>0.4</c:v>
                </c:pt>
                <c:pt idx="5">
                  <c:v>0.45</c:v>
                </c:pt>
                <c:pt idx="6">
                  <c:v>0.5</c:v>
                </c:pt>
              </c:numCache>
            </c:numRef>
          </c:xVal>
          <c:yVal>
            <c:numRef>
              <c:f>HeatingCalc_2!$AG$5:$AG$11</c:f>
              <c:numCache>
                <c:formatCode>General</c:formatCode>
                <c:ptCount val="7"/>
                <c:pt idx="0">
                  <c:v>0.4</c:v>
                </c:pt>
                <c:pt idx="1">
                  <c:v>0.28000000000000003</c:v>
                </c:pt>
                <c:pt idx="2">
                  <c:v>0.19</c:v>
                </c:pt>
                <c:pt idx="3">
                  <c:v>0.12</c:v>
                </c:pt>
                <c:pt idx="4">
                  <c:v>0.06</c:v>
                </c:pt>
                <c:pt idx="5">
                  <c:v>0.03</c:v>
                </c:pt>
                <c:pt idx="6">
                  <c:v>0.01</c:v>
                </c:pt>
              </c:numCache>
            </c:numRef>
          </c:yVal>
          <c:smooth val="0"/>
          <c:extLst>
            <c:ext xmlns:c16="http://schemas.microsoft.com/office/drawing/2014/chart" uri="{C3380CC4-5D6E-409C-BE32-E72D297353CC}">
              <c16:uniqueId val="{00000001-986D-4858-8DA7-DC33A467D429}"/>
            </c:ext>
          </c:extLst>
        </c:ser>
        <c:dLbls>
          <c:showLegendKey val="0"/>
          <c:showVal val="0"/>
          <c:showCatName val="0"/>
          <c:showSerName val="0"/>
          <c:showPercent val="0"/>
          <c:showBubbleSize val="0"/>
        </c:dLbls>
        <c:axId val="369700680"/>
        <c:axId val="369701072"/>
      </c:scatterChart>
      <c:valAx>
        <c:axId val="369700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1072"/>
        <c:crosses val="autoZero"/>
        <c:crossBetween val="midCat"/>
      </c:valAx>
      <c:valAx>
        <c:axId val="369701072"/>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0680"/>
        <c:crosses val="autoZero"/>
        <c:crossBetween val="midCat"/>
      </c:valAx>
    </c:plotArea>
    <c:legend>
      <c:legendPos val="r"/>
      <c:layout>
        <c:manualLayout>
          <c:xMode val="edge"/>
          <c:yMode val="edge"/>
          <c:x val="0.73640242588179294"/>
          <c:y val="0.41463414634146339"/>
          <c:w val="0.24267807216559084"/>
          <c:h val="0.1672473867595819"/>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layout>
                <c:manualLayout>
                  <c:x val="0.24476377952755909"/>
                  <c:y val="-0.67010790317876956"/>
                </c:manualLayout>
              </c:layout>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HeatingCalc_2!$AF$5:$AF$15</c:f>
              <c:numCache>
                <c:formatCode>General</c:formatCode>
                <c:ptCount val="11"/>
                <c:pt idx="0">
                  <c:v>0.2</c:v>
                </c:pt>
                <c:pt idx="1">
                  <c:v>0.25</c:v>
                </c:pt>
                <c:pt idx="2">
                  <c:v>0.3</c:v>
                </c:pt>
                <c:pt idx="3">
                  <c:v>0.35</c:v>
                </c:pt>
                <c:pt idx="4">
                  <c:v>0.4</c:v>
                </c:pt>
                <c:pt idx="5">
                  <c:v>0.45</c:v>
                </c:pt>
                <c:pt idx="6">
                  <c:v>0.5</c:v>
                </c:pt>
                <c:pt idx="7">
                  <c:v>0.55000000000000004</c:v>
                </c:pt>
                <c:pt idx="8">
                  <c:v>0.6</c:v>
                </c:pt>
                <c:pt idx="9">
                  <c:v>0.65</c:v>
                </c:pt>
                <c:pt idx="10">
                  <c:v>0.7</c:v>
                </c:pt>
              </c:numCache>
            </c:numRef>
          </c:xVal>
          <c:yVal>
            <c:numRef>
              <c:f>HeatingCalc_2!$AH$5:$AH$15</c:f>
              <c:numCache>
                <c:formatCode>General</c:formatCode>
                <c:ptCount val="11"/>
                <c:pt idx="0">
                  <c:v>0.53</c:v>
                </c:pt>
                <c:pt idx="1">
                  <c:v>0.43</c:v>
                </c:pt>
                <c:pt idx="2">
                  <c:v>0.34</c:v>
                </c:pt>
                <c:pt idx="3">
                  <c:v>0.27</c:v>
                </c:pt>
                <c:pt idx="4">
                  <c:v>0.2</c:v>
                </c:pt>
                <c:pt idx="5">
                  <c:v>0.14000000000000001</c:v>
                </c:pt>
                <c:pt idx="6">
                  <c:v>0.09</c:v>
                </c:pt>
                <c:pt idx="7">
                  <c:v>0.06</c:v>
                </c:pt>
                <c:pt idx="8">
                  <c:v>0.03</c:v>
                </c:pt>
                <c:pt idx="9">
                  <c:v>0.02</c:v>
                </c:pt>
                <c:pt idx="10">
                  <c:v>0.01</c:v>
                </c:pt>
              </c:numCache>
            </c:numRef>
          </c:yVal>
          <c:smooth val="0"/>
          <c:extLst>
            <c:ext xmlns:c16="http://schemas.microsoft.com/office/drawing/2014/chart" uri="{C3380CC4-5D6E-409C-BE32-E72D297353CC}">
              <c16:uniqueId val="{00000001-0462-4984-9F99-C5716AF3593D}"/>
            </c:ext>
          </c:extLst>
        </c:ser>
        <c:dLbls>
          <c:showLegendKey val="0"/>
          <c:showVal val="0"/>
          <c:showCatName val="0"/>
          <c:showSerName val="0"/>
          <c:showPercent val="0"/>
          <c:showBubbleSize val="0"/>
        </c:dLbls>
        <c:axId val="369703032"/>
        <c:axId val="369705384"/>
      </c:scatterChart>
      <c:valAx>
        <c:axId val="369703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5384"/>
        <c:crosses val="autoZero"/>
        <c:crossBetween val="midCat"/>
      </c:valAx>
      <c:valAx>
        <c:axId val="369705384"/>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3032"/>
        <c:crosses val="autoZero"/>
        <c:crossBetween val="midCat"/>
      </c:valAx>
    </c:plotArea>
    <c:legend>
      <c:legendPos val="r"/>
      <c:layout>
        <c:manualLayout>
          <c:xMode val="edge"/>
          <c:yMode val="edge"/>
          <c:x val="0.73640242588179294"/>
          <c:y val="0.41403650642991513"/>
          <c:w val="0.24267807216559084"/>
          <c:h val="0.16842162973420277"/>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layout>
                <c:manualLayout>
                  <c:x val="0.30920997375328096"/>
                  <c:y val="-0.68399679206765818"/>
                </c:manualLayout>
              </c:layout>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HeatingCalc_2!$AF$5:$AF$21</c:f>
              <c:numCache>
                <c:formatCode>General</c:formatCode>
                <c:ptCount val="17"/>
                <c:pt idx="0">
                  <c:v>0.2</c:v>
                </c:pt>
                <c:pt idx="1">
                  <c:v>0.25</c:v>
                </c:pt>
                <c:pt idx="2">
                  <c:v>0.3</c:v>
                </c:pt>
                <c:pt idx="3">
                  <c:v>0.35</c:v>
                </c:pt>
                <c:pt idx="4">
                  <c:v>0.4</c:v>
                </c:pt>
                <c:pt idx="5">
                  <c:v>0.45</c:v>
                </c:pt>
                <c:pt idx="6">
                  <c:v>0.5</c:v>
                </c:pt>
                <c:pt idx="7">
                  <c:v>0.55000000000000004</c:v>
                </c:pt>
                <c:pt idx="8">
                  <c:v>0.6</c:v>
                </c:pt>
                <c:pt idx="9">
                  <c:v>0.65</c:v>
                </c:pt>
                <c:pt idx="10">
                  <c:v>0.7</c:v>
                </c:pt>
                <c:pt idx="11">
                  <c:v>0.75</c:v>
                </c:pt>
                <c:pt idx="12">
                  <c:v>0.8</c:v>
                </c:pt>
                <c:pt idx="13">
                  <c:v>0.85</c:v>
                </c:pt>
                <c:pt idx="14">
                  <c:v>0.9</c:v>
                </c:pt>
                <c:pt idx="15">
                  <c:v>0.95</c:v>
                </c:pt>
                <c:pt idx="16">
                  <c:v>1</c:v>
                </c:pt>
              </c:numCache>
            </c:numRef>
          </c:xVal>
          <c:yVal>
            <c:numRef>
              <c:f>HeatingCalc_2!$AI$5:$AI$21</c:f>
              <c:numCache>
                <c:formatCode>General</c:formatCode>
                <c:ptCount val="17"/>
                <c:pt idx="0">
                  <c:v>0.64</c:v>
                </c:pt>
                <c:pt idx="1">
                  <c:v>0.56999999999999995</c:v>
                </c:pt>
                <c:pt idx="2">
                  <c:v>0.49</c:v>
                </c:pt>
                <c:pt idx="3">
                  <c:v>0.42</c:v>
                </c:pt>
                <c:pt idx="4">
                  <c:v>0.35</c:v>
                </c:pt>
                <c:pt idx="5">
                  <c:v>0.28999999999999998</c:v>
                </c:pt>
                <c:pt idx="6">
                  <c:v>0.24</c:v>
                </c:pt>
                <c:pt idx="7">
                  <c:v>0.19</c:v>
                </c:pt>
                <c:pt idx="8">
                  <c:v>0.15</c:v>
                </c:pt>
                <c:pt idx="9">
                  <c:v>0.11</c:v>
                </c:pt>
                <c:pt idx="10">
                  <c:v>0.09</c:v>
                </c:pt>
                <c:pt idx="11">
                  <c:v>0.05</c:v>
                </c:pt>
                <c:pt idx="12">
                  <c:v>0.05</c:v>
                </c:pt>
                <c:pt idx="13">
                  <c:v>0.03</c:v>
                </c:pt>
                <c:pt idx="14">
                  <c:v>0.02</c:v>
                </c:pt>
                <c:pt idx="15">
                  <c:v>0.01</c:v>
                </c:pt>
                <c:pt idx="16">
                  <c:v>0.01</c:v>
                </c:pt>
              </c:numCache>
            </c:numRef>
          </c:yVal>
          <c:smooth val="0"/>
          <c:extLst>
            <c:ext xmlns:c16="http://schemas.microsoft.com/office/drawing/2014/chart" uri="{C3380CC4-5D6E-409C-BE32-E72D297353CC}">
              <c16:uniqueId val="{00000001-60C1-4270-B9E8-2F17433F40E2}"/>
            </c:ext>
          </c:extLst>
        </c:ser>
        <c:dLbls>
          <c:showLegendKey val="0"/>
          <c:showVal val="0"/>
          <c:showCatName val="0"/>
          <c:showSerName val="0"/>
          <c:showPercent val="0"/>
          <c:showBubbleSize val="0"/>
        </c:dLbls>
        <c:axId val="369703816"/>
        <c:axId val="369705776"/>
      </c:scatterChart>
      <c:valAx>
        <c:axId val="369703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5776"/>
        <c:crosses val="autoZero"/>
        <c:crossBetween val="midCat"/>
      </c:valAx>
      <c:valAx>
        <c:axId val="369705776"/>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3816"/>
        <c:crosses val="autoZero"/>
        <c:crossBetween val="midCat"/>
      </c:valAx>
    </c:plotArea>
    <c:legend>
      <c:legendPos val="r"/>
      <c:layout>
        <c:manualLayout>
          <c:xMode val="edge"/>
          <c:yMode val="edge"/>
          <c:x val="0.73640242588179294"/>
          <c:y val="0.41319584552627742"/>
          <c:w val="0.24267807216559084"/>
          <c:h val="0.16666723180891863"/>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HeatingCalc_3!$AF$5:$AF$11</c:f>
              <c:numCache>
                <c:formatCode>General</c:formatCode>
                <c:ptCount val="7"/>
                <c:pt idx="0">
                  <c:v>0.2</c:v>
                </c:pt>
                <c:pt idx="1">
                  <c:v>0.25</c:v>
                </c:pt>
                <c:pt idx="2">
                  <c:v>0.3</c:v>
                </c:pt>
                <c:pt idx="3">
                  <c:v>0.35</c:v>
                </c:pt>
                <c:pt idx="4">
                  <c:v>0.4</c:v>
                </c:pt>
                <c:pt idx="5">
                  <c:v>0.45</c:v>
                </c:pt>
                <c:pt idx="6">
                  <c:v>0.5</c:v>
                </c:pt>
              </c:numCache>
            </c:numRef>
          </c:xVal>
          <c:yVal>
            <c:numRef>
              <c:f>HeatingCalc_3!$AG$5:$AG$11</c:f>
              <c:numCache>
                <c:formatCode>General</c:formatCode>
                <c:ptCount val="7"/>
                <c:pt idx="0">
                  <c:v>0.4</c:v>
                </c:pt>
                <c:pt idx="1">
                  <c:v>0.28000000000000003</c:v>
                </c:pt>
                <c:pt idx="2">
                  <c:v>0.19</c:v>
                </c:pt>
                <c:pt idx="3">
                  <c:v>0.12</c:v>
                </c:pt>
                <c:pt idx="4">
                  <c:v>0.06</c:v>
                </c:pt>
                <c:pt idx="5">
                  <c:v>0.03</c:v>
                </c:pt>
                <c:pt idx="6">
                  <c:v>0.01</c:v>
                </c:pt>
              </c:numCache>
            </c:numRef>
          </c:yVal>
          <c:smooth val="0"/>
          <c:extLst>
            <c:ext xmlns:c16="http://schemas.microsoft.com/office/drawing/2014/chart" uri="{C3380CC4-5D6E-409C-BE32-E72D297353CC}">
              <c16:uniqueId val="{00000001-1470-489C-B929-E77A06D68693}"/>
            </c:ext>
          </c:extLst>
        </c:ser>
        <c:dLbls>
          <c:showLegendKey val="0"/>
          <c:showVal val="0"/>
          <c:showCatName val="0"/>
          <c:showSerName val="0"/>
          <c:showPercent val="0"/>
          <c:showBubbleSize val="0"/>
        </c:dLbls>
        <c:axId val="369700680"/>
        <c:axId val="369701072"/>
      </c:scatterChart>
      <c:valAx>
        <c:axId val="369700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1072"/>
        <c:crosses val="autoZero"/>
        <c:crossBetween val="midCat"/>
      </c:valAx>
      <c:valAx>
        <c:axId val="369701072"/>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0680"/>
        <c:crosses val="autoZero"/>
        <c:crossBetween val="midCat"/>
      </c:valAx>
    </c:plotArea>
    <c:legend>
      <c:legendPos val="r"/>
      <c:layout>
        <c:manualLayout>
          <c:xMode val="edge"/>
          <c:yMode val="edge"/>
          <c:x val="0.73640242588179294"/>
          <c:y val="0.41463414634146339"/>
          <c:w val="0.24267807216559084"/>
          <c:h val="0.1672473867595819"/>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layout>
                <c:manualLayout>
                  <c:x val="0.24476377952755909"/>
                  <c:y val="-0.67010790317876956"/>
                </c:manualLayout>
              </c:layout>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HeatingCalc_3!$AF$5:$AF$15</c:f>
              <c:numCache>
                <c:formatCode>General</c:formatCode>
                <c:ptCount val="11"/>
                <c:pt idx="0">
                  <c:v>0.2</c:v>
                </c:pt>
                <c:pt idx="1">
                  <c:v>0.25</c:v>
                </c:pt>
                <c:pt idx="2">
                  <c:v>0.3</c:v>
                </c:pt>
                <c:pt idx="3">
                  <c:v>0.35</c:v>
                </c:pt>
                <c:pt idx="4">
                  <c:v>0.4</c:v>
                </c:pt>
                <c:pt idx="5">
                  <c:v>0.45</c:v>
                </c:pt>
                <c:pt idx="6">
                  <c:v>0.5</c:v>
                </c:pt>
                <c:pt idx="7">
                  <c:v>0.55000000000000004</c:v>
                </c:pt>
                <c:pt idx="8">
                  <c:v>0.6</c:v>
                </c:pt>
                <c:pt idx="9">
                  <c:v>0.65</c:v>
                </c:pt>
                <c:pt idx="10">
                  <c:v>0.7</c:v>
                </c:pt>
              </c:numCache>
            </c:numRef>
          </c:xVal>
          <c:yVal>
            <c:numRef>
              <c:f>HeatingCalc_3!$AH$5:$AH$15</c:f>
              <c:numCache>
                <c:formatCode>General</c:formatCode>
                <c:ptCount val="11"/>
                <c:pt idx="0">
                  <c:v>0.53</c:v>
                </c:pt>
                <c:pt idx="1">
                  <c:v>0.43</c:v>
                </c:pt>
                <c:pt idx="2">
                  <c:v>0.34</c:v>
                </c:pt>
                <c:pt idx="3">
                  <c:v>0.27</c:v>
                </c:pt>
                <c:pt idx="4">
                  <c:v>0.2</c:v>
                </c:pt>
                <c:pt idx="5">
                  <c:v>0.14000000000000001</c:v>
                </c:pt>
                <c:pt idx="6">
                  <c:v>0.09</c:v>
                </c:pt>
                <c:pt idx="7">
                  <c:v>0.06</c:v>
                </c:pt>
                <c:pt idx="8">
                  <c:v>0.03</c:v>
                </c:pt>
                <c:pt idx="9">
                  <c:v>0.02</c:v>
                </c:pt>
                <c:pt idx="10">
                  <c:v>0.01</c:v>
                </c:pt>
              </c:numCache>
            </c:numRef>
          </c:yVal>
          <c:smooth val="0"/>
          <c:extLst>
            <c:ext xmlns:c16="http://schemas.microsoft.com/office/drawing/2014/chart" uri="{C3380CC4-5D6E-409C-BE32-E72D297353CC}">
              <c16:uniqueId val="{00000001-36D9-4844-8118-BA16881F4CF0}"/>
            </c:ext>
          </c:extLst>
        </c:ser>
        <c:dLbls>
          <c:showLegendKey val="0"/>
          <c:showVal val="0"/>
          <c:showCatName val="0"/>
          <c:showSerName val="0"/>
          <c:showPercent val="0"/>
          <c:showBubbleSize val="0"/>
        </c:dLbls>
        <c:axId val="369703032"/>
        <c:axId val="369705384"/>
      </c:scatterChart>
      <c:valAx>
        <c:axId val="369703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5384"/>
        <c:crosses val="autoZero"/>
        <c:crossBetween val="midCat"/>
      </c:valAx>
      <c:valAx>
        <c:axId val="369705384"/>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3032"/>
        <c:crosses val="autoZero"/>
        <c:crossBetween val="midCat"/>
      </c:valAx>
    </c:plotArea>
    <c:legend>
      <c:legendPos val="r"/>
      <c:layout>
        <c:manualLayout>
          <c:xMode val="edge"/>
          <c:yMode val="edge"/>
          <c:x val="0.73640242588179294"/>
          <c:y val="0.41403650642991513"/>
          <c:w val="0.24267807216559084"/>
          <c:h val="0.16842162973420277"/>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trendline>
            <c:trendlineType val="poly"/>
            <c:order val="2"/>
            <c:dispRSqr val="0"/>
            <c:dispEq val="1"/>
            <c:trendlineLbl>
              <c:layout>
                <c:manualLayout>
                  <c:x val="0.30920997375328096"/>
                  <c:y val="-0.68399679206765818"/>
                </c:manualLayout>
              </c:layout>
              <c:numFmt formatCode="General" sourceLinked="0"/>
              <c:spPr>
                <a:noFill/>
                <a:ln w="25400">
                  <a:noFill/>
                </a:ln>
              </c:spPr>
              <c:txPr>
                <a:bodyPr/>
                <a:lstStyle/>
                <a:p>
                  <a:pPr>
                    <a:defRPr sz="1000" b="0" i="0" u="none" strike="noStrike" baseline="0">
                      <a:solidFill>
                        <a:srgbClr val="000000"/>
                      </a:solidFill>
                      <a:latin typeface="Calibri"/>
                      <a:ea typeface="Calibri"/>
                      <a:cs typeface="Calibri"/>
                    </a:defRPr>
                  </a:pPr>
                  <a:endParaRPr lang="en-US"/>
                </a:p>
              </c:txPr>
            </c:trendlineLbl>
          </c:trendline>
          <c:xVal>
            <c:numRef>
              <c:f>HeatingCalc_3!$AF$5:$AF$21</c:f>
              <c:numCache>
                <c:formatCode>General</c:formatCode>
                <c:ptCount val="17"/>
                <c:pt idx="0">
                  <c:v>0.2</c:v>
                </c:pt>
                <c:pt idx="1">
                  <c:v>0.25</c:v>
                </c:pt>
                <c:pt idx="2">
                  <c:v>0.3</c:v>
                </c:pt>
                <c:pt idx="3">
                  <c:v>0.35</c:v>
                </c:pt>
                <c:pt idx="4">
                  <c:v>0.4</c:v>
                </c:pt>
                <c:pt idx="5">
                  <c:v>0.45</c:v>
                </c:pt>
                <c:pt idx="6">
                  <c:v>0.5</c:v>
                </c:pt>
                <c:pt idx="7">
                  <c:v>0.55000000000000004</c:v>
                </c:pt>
                <c:pt idx="8">
                  <c:v>0.6</c:v>
                </c:pt>
                <c:pt idx="9">
                  <c:v>0.65</c:v>
                </c:pt>
                <c:pt idx="10">
                  <c:v>0.7</c:v>
                </c:pt>
                <c:pt idx="11">
                  <c:v>0.75</c:v>
                </c:pt>
                <c:pt idx="12">
                  <c:v>0.8</c:v>
                </c:pt>
                <c:pt idx="13">
                  <c:v>0.85</c:v>
                </c:pt>
                <c:pt idx="14">
                  <c:v>0.9</c:v>
                </c:pt>
                <c:pt idx="15">
                  <c:v>0.95</c:v>
                </c:pt>
                <c:pt idx="16">
                  <c:v>1</c:v>
                </c:pt>
              </c:numCache>
            </c:numRef>
          </c:xVal>
          <c:yVal>
            <c:numRef>
              <c:f>HeatingCalc_3!$AI$5:$AI$21</c:f>
              <c:numCache>
                <c:formatCode>General</c:formatCode>
                <c:ptCount val="17"/>
                <c:pt idx="0">
                  <c:v>0.64</c:v>
                </c:pt>
                <c:pt idx="1">
                  <c:v>0.56999999999999995</c:v>
                </c:pt>
                <c:pt idx="2">
                  <c:v>0.49</c:v>
                </c:pt>
                <c:pt idx="3">
                  <c:v>0.42</c:v>
                </c:pt>
                <c:pt idx="4">
                  <c:v>0.35</c:v>
                </c:pt>
                <c:pt idx="5">
                  <c:v>0.28999999999999998</c:v>
                </c:pt>
                <c:pt idx="6">
                  <c:v>0.24</c:v>
                </c:pt>
                <c:pt idx="7">
                  <c:v>0.19</c:v>
                </c:pt>
                <c:pt idx="8">
                  <c:v>0.15</c:v>
                </c:pt>
                <c:pt idx="9">
                  <c:v>0.11</c:v>
                </c:pt>
                <c:pt idx="10">
                  <c:v>0.09</c:v>
                </c:pt>
                <c:pt idx="11">
                  <c:v>0.05</c:v>
                </c:pt>
                <c:pt idx="12">
                  <c:v>0.05</c:v>
                </c:pt>
                <c:pt idx="13">
                  <c:v>0.03</c:v>
                </c:pt>
                <c:pt idx="14">
                  <c:v>0.02</c:v>
                </c:pt>
                <c:pt idx="15">
                  <c:v>0.01</c:v>
                </c:pt>
                <c:pt idx="16">
                  <c:v>0.01</c:v>
                </c:pt>
              </c:numCache>
            </c:numRef>
          </c:yVal>
          <c:smooth val="0"/>
          <c:extLst>
            <c:ext xmlns:c16="http://schemas.microsoft.com/office/drawing/2014/chart" uri="{C3380CC4-5D6E-409C-BE32-E72D297353CC}">
              <c16:uniqueId val="{00000001-F448-4324-8B09-9219FA9E8450}"/>
            </c:ext>
          </c:extLst>
        </c:ser>
        <c:dLbls>
          <c:showLegendKey val="0"/>
          <c:showVal val="0"/>
          <c:showCatName val="0"/>
          <c:showSerName val="0"/>
          <c:showPercent val="0"/>
          <c:showBubbleSize val="0"/>
        </c:dLbls>
        <c:axId val="369703816"/>
        <c:axId val="369705776"/>
      </c:scatterChart>
      <c:valAx>
        <c:axId val="369703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5776"/>
        <c:crosses val="autoZero"/>
        <c:crossBetween val="midCat"/>
      </c:valAx>
      <c:valAx>
        <c:axId val="369705776"/>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69703816"/>
        <c:crosses val="autoZero"/>
        <c:crossBetween val="midCat"/>
      </c:valAx>
    </c:plotArea>
    <c:legend>
      <c:legendPos val="r"/>
      <c:layout>
        <c:manualLayout>
          <c:xMode val="edge"/>
          <c:yMode val="edge"/>
          <c:x val="0.73640242588179294"/>
          <c:y val="0.41319584552627742"/>
          <c:w val="0.24267807216559084"/>
          <c:h val="0.16666723180891863"/>
        </c:manualLayout>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342900</xdr:colOff>
      <xdr:row>33</xdr:row>
      <xdr:rowOff>190500</xdr:rowOff>
    </xdr:from>
    <xdr:to>
      <xdr:col>10</xdr:col>
      <xdr:colOff>409575</xdr:colOff>
      <xdr:row>45</xdr:row>
      <xdr:rowOff>104775</xdr:rowOff>
    </xdr:to>
    <xdr:sp macro="" textlink="">
      <xdr:nvSpPr>
        <xdr:cNvPr id="15362" name="Text Box 2">
          <a:extLst>
            <a:ext uri="{FF2B5EF4-FFF2-40B4-BE49-F238E27FC236}">
              <a16:creationId xmlns:a16="http://schemas.microsoft.com/office/drawing/2014/main" id="{00000000-0008-0000-0000-0000023C0000}"/>
            </a:ext>
          </a:extLst>
        </xdr:cNvPr>
        <xdr:cNvSpPr txBox="1">
          <a:spLocks noChangeArrowheads="1"/>
        </xdr:cNvSpPr>
      </xdr:nvSpPr>
      <xdr:spPr bwMode="auto">
        <a:xfrm>
          <a:off x="342900" y="7010400"/>
          <a:ext cx="6581775" cy="1933575"/>
        </a:xfrm>
        <a:prstGeom prst="rect">
          <a:avLst/>
        </a:prstGeom>
        <a:solidFill>
          <a:srgbClr val="FFFFFF"/>
        </a:solidFill>
        <a:ln w="9525">
          <a:solidFill>
            <a:srgbClr val="008080"/>
          </a:solidFill>
          <a:miter lim="800000"/>
          <a:headEnd/>
          <a:tailEnd/>
        </a:ln>
      </xdr:spPr>
      <xdr:txBody>
        <a:bodyPr vertOverflow="clip" wrap="square" lIns="27432" tIns="22860" rIns="0" bIns="0" anchor="t" upright="1"/>
        <a:lstStyle/>
        <a:p>
          <a:pPr algn="l" rtl="0">
            <a:defRPr sz="1000"/>
          </a:pPr>
          <a:endParaRPr lang="en-IE" sz="900" b="1" i="0" u="none" strike="noStrike" baseline="0">
            <a:solidFill>
              <a:srgbClr val="000000"/>
            </a:solidFill>
            <a:latin typeface="Myriad Pro"/>
          </a:endParaRPr>
        </a:p>
        <a:p>
          <a:pPr algn="l" rtl="0">
            <a:defRPr sz="1000"/>
          </a:pPr>
          <a:r>
            <a:rPr lang="en-IE" sz="900" b="1" i="0" u="none" strike="noStrike" baseline="0">
              <a:solidFill>
                <a:srgbClr val="000000"/>
              </a:solidFill>
              <a:latin typeface="Myriad Pro"/>
            </a:rPr>
            <a:t>    Disclaimer &amp; Copyright</a:t>
          </a:r>
        </a:p>
        <a:p>
          <a:pPr algn="l" rtl="0">
            <a:defRPr sz="1000"/>
          </a:pPr>
          <a:endParaRPr lang="en-IE" sz="900" b="0" i="0" u="none" strike="noStrike" baseline="0">
            <a:solidFill>
              <a:srgbClr val="000000"/>
            </a:solidFill>
            <a:latin typeface="Myriad Pro"/>
          </a:endParaRPr>
        </a:p>
        <a:p>
          <a:pPr algn="l" rtl="0">
            <a:defRPr sz="1000"/>
          </a:pPr>
          <a:r>
            <a:rPr lang="en-IE" sz="900" b="0" i="0" u="none" strike="noStrike" baseline="0">
              <a:solidFill>
                <a:srgbClr val="000000"/>
              </a:solidFill>
              <a:latin typeface="Myriad Pro"/>
            </a:rPr>
            <a:t>   Copyright to the Calculation Workbook is owned by The Sustainable Energy Authority of Ireland.</a:t>
          </a:r>
        </a:p>
        <a:p>
          <a:pPr algn="l" rtl="0">
            <a:defRPr sz="1000"/>
          </a:pPr>
          <a:endParaRPr lang="en-IE" sz="900" b="0" i="0" u="none" strike="noStrike" baseline="0">
            <a:solidFill>
              <a:srgbClr val="000000"/>
            </a:solidFill>
            <a:latin typeface="Myriad Pro"/>
          </a:endParaRPr>
        </a:p>
        <a:p>
          <a:pPr algn="l" rtl="0">
            <a:defRPr sz="1000"/>
          </a:pPr>
          <a:r>
            <a:rPr lang="en-IE" sz="900" b="0" i="0" u="none" strike="noStrike" baseline="0">
              <a:solidFill>
                <a:srgbClr val="000000"/>
              </a:solidFill>
              <a:latin typeface="Myriad Pro"/>
            </a:rPr>
            <a:t>   Apart from normal data entry, you may not make changes to the Calculation Workbook. You may not make alterations to its </a:t>
          </a:r>
        </a:p>
        <a:p>
          <a:pPr algn="l" rtl="0">
            <a:defRPr sz="1000"/>
          </a:pPr>
          <a:r>
            <a:rPr lang="en-IE" sz="900" b="0" i="0" u="none" strike="noStrike" baseline="0">
              <a:solidFill>
                <a:srgbClr val="000000"/>
              </a:solidFill>
              <a:latin typeface="Myriad Pro"/>
            </a:rPr>
            <a:t>   structure, calculation procedures or contained data.</a:t>
          </a:r>
        </a:p>
        <a:p>
          <a:pPr algn="l" rtl="0">
            <a:defRPr sz="1000"/>
          </a:pPr>
          <a:endParaRPr lang="en-IE" sz="900" b="0" i="0" u="none" strike="noStrike" baseline="0">
            <a:solidFill>
              <a:srgbClr val="000000"/>
            </a:solidFill>
            <a:latin typeface="Myriad Pro"/>
          </a:endParaRPr>
        </a:p>
        <a:p>
          <a:pPr algn="l" rtl="0">
            <a:defRPr sz="1000"/>
          </a:pPr>
          <a:r>
            <a:rPr lang="en-IE" sz="900" b="0" i="0" u="none" strike="noStrike" baseline="0">
              <a:solidFill>
                <a:srgbClr val="000000"/>
              </a:solidFill>
              <a:latin typeface="Myriad Pro"/>
            </a:rPr>
            <a:t>   Neither SEAI, its consultants, suppliers nor any of their employees shall be held liable for any loss or </a:t>
          </a:r>
        </a:p>
        <a:p>
          <a:pPr algn="l" rtl="0">
            <a:defRPr sz="1000"/>
          </a:pPr>
          <a:r>
            <a:rPr lang="en-IE" sz="900" b="0" i="0" u="none" strike="noStrike" baseline="0">
              <a:solidFill>
                <a:srgbClr val="000000"/>
              </a:solidFill>
              <a:latin typeface="Myriad Pro"/>
            </a:rPr>
            <a:t>   damage caused by the Calculation Workbook.</a:t>
          </a:r>
        </a:p>
        <a:p>
          <a:pPr algn="l" rtl="0">
            <a:defRPr sz="1000"/>
          </a:pPr>
          <a:endParaRPr lang="en-IE" sz="900" b="0" i="0" u="none" strike="noStrike" baseline="0">
            <a:solidFill>
              <a:srgbClr val="000000"/>
            </a:solidFill>
            <a:latin typeface="Myriad Pro"/>
          </a:endParaRPr>
        </a:p>
        <a:p>
          <a:pPr algn="l" rtl="0">
            <a:defRPr sz="1000"/>
          </a:pPr>
          <a:r>
            <a:rPr lang="en-IE" sz="900" b="0" i="0" u="none" strike="noStrike" baseline="0">
              <a:solidFill>
                <a:srgbClr val="000000"/>
              </a:solidFill>
              <a:latin typeface="Myriad Pro"/>
            </a:rPr>
            <a:t>   © 2006-2020 The Sustainable Energy Authority of Ireland. All rights reserved.</a:t>
          </a:r>
        </a:p>
      </xdr:txBody>
    </xdr:sp>
    <xdr:clientData/>
  </xdr:twoCellAnchor>
  <xdr:twoCellAnchor editAs="oneCell">
    <xdr:from>
      <xdr:col>4</xdr:col>
      <xdr:colOff>9525</xdr:colOff>
      <xdr:row>0</xdr:row>
      <xdr:rowOff>0</xdr:rowOff>
    </xdr:from>
    <xdr:to>
      <xdr:col>5</xdr:col>
      <xdr:colOff>1562100</xdr:colOff>
      <xdr:row>4</xdr:row>
      <xdr:rowOff>0</xdr:rowOff>
    </xdr:to>
    <xdr:pic>
      <xdr:nvPicPr>
        <xdr:cNvPr id="15615" name="Picture 11">
          <a:extLst>
            <a:ext uri="{FF2B5EF4-FFF2-40B4-BE49-F238E27FC236}">
              <a16:creationId xmlns:a16="http://schemas.microsoft.com/office/drawing/2014/main" id="{00000000-0008-0000-0000-0000FF3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562225" y="0"/>
          <a:ext cx="2207895" cy="777240"/>
        </a:xfrm>
        <a:prstGeom prst="rect">
          <a:avLst/>
        </a:prstGeom>
        <a:noFill/>
        <a:ln w="1">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28442</xdr:colOff>
      <xdr:row>2</xdr:row>
      <xdr:rowOff>0</xdr:rowOff>
    </xdr:from>
    <xdr:to>
      <xdr:col>6</xdr:col>
      <xdr:colOff>3779469</xdr:colOff>
      <xdr:row>10</xdr:row>
      <xdr:rowOff>145621</xdr:rowOff>
    </xdr:to>
    <xdr:pic>
      <xdr:nvPicPr>
        <xdr:cNvPr id="2" name="Picture 1">
          <a:extLst>
            <a:ext uri="{FF2B5EF4-FFF2-40B4-BE49-F238E27FC236}">
              <a16:creationId xmlns:a16="http://schemas.microsoft.com/office/drawing/2014/main" id="{BAB7A070-CB91-4D27-9963-67990F269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7313" y="595053"/>
          <a:ext cx="3752307" cy="1970258"/>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903514</xdr:colOff>
      <xdr:row>2</xdr:row>
      <xdr:rowOff>43542</xdr:rowOff>
    </xdr:from>
    <xdr:to>
      <xdr:col>9</xdr:col>
      <xdr:colOff>994193</xdr:colOff>
      <xdr:row>5</xdr:row>
      <xdr:rowOff>550184</xdr:rowOff>
    </xdr:to>
    <xdr:pic>
      <xdr:nvPicPr>
        <xdr:cNvPr id="19" name="Picture 18">
          <a:extLst>
            <a:ext uri="{FF2B5EF4-FFF2-40B4-BE49-F238E27FC236}">
              <a16:creationId xmlns:a16="http://schemas.microsoft.com/office/drawing/2014/main" id="{EB85C6BE-1C2C-442C-90D3-F9E7FF258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79041" y="833251"/>
          <a:ext cx="3751614" cy="1965367"/>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903514</xdr:colOff>
      <xdr:row>2</xdr:row>
      <xdr:rowOff>43542</xdr:rowOff>
    </xdr:from>
    <xdr:to>
      <xdr:col>9</xdr:col>
      <xdr:colOff>994193</xdr:colOff>
      <xdr:row>5</xdr:row>
      <xdr:rowOff>550184</xdr:rowOff>
    </xdr:to>
    <xdr:pic>
      <xdr:nvPicPr>
        <xdr:cNvPr id="2" name="Picture 1">
          <a:extLst>
            <a:ext uri="{FF2B5EF4-FFF2-40B4-BE49-F238E27FC236}">
              <a16:creationId xmlns:a16="http://schemas.microsoft.com/office/drawing/2014/main" id="{A1F374E4-AD86-4B69-8F25-76107CD7B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59894" y="820782"/>
          <a:ext cx="3725419" cy="202302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903514</xdr:colOff>
      <xdr:row>2</xdr:row>
      <xdr:rowOff>43542</xdr:rowOff>
    </xdr:from>
    <xdr:to>
      <xdr:col>9</xdr:col>
      <xdr:colOff>994193</xdr:colOff>
      <xdr:row>5</xdr:row>
      <xdr:rowOff>550184</xdr:rowOff>
    </xdr:to>
    <xdr:pic>
      <xdr:nvPicPr>
        <xdr:cNvPr id="2" name="Picture 1">
          <a:extLst>
            <a:ext uri="{FF2B5EF4-FFF2-40B4-BE49-F238E27FC236}">
              <a16:creationId xmlns:a16="http://schemas.microsoft.com/office/drawing/2014/main" id="{0CFDB001-BEC2-4D6B-869B-A0A1150FD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59894" y="820782"/>
          <a:ext cx="3725419" cy="202302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36</xdr:col>
      <xdr:colOff>196215</xdr:colOff>
      <xdr:row>4</xdr:row>
      <xdr:rowOff>120015</xdr:rowOff>
    </xdr:from>
    <xdr:to>
      <xdr:col>43</xdr:col>
      <xdr:colOff>497205</xdr:colOff>
      <xdr:row>19</xdr:row>
      <xdr:rowOff>76200</xdr:rowOff>
    </xdr:to>
    <xdr:graphicFrame macro="">
      <xdr:nvGraphicFramePr>
        <xdr:cNvPr id="2" name="Chart 1">
          <a:extLst>
            <a:ext uri="{FF2B5EF4-FFF2-40B4-BE49-F238E27FC236}">
              <a16:creationId xmlns:a16="http://schemas.microsoft.com/office/drawing/2014/main" id="{216FD461-5ED0-40AB-B17C-F44F5AB4B2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36</xdr:col>
      <xdr:colOff>0</xdr:colOff>
      <xdr:row>18</xdr:row>
      <xdr:rowOff>0</xdr:rowOff>
    </xdr:from>
    <xdr:to>
      <xdr:col>43</xdr:col>
      <xdr:colOff>285750</xdr:colOff>
      <xdr:row>32</xdr:row>
      <xdr:rowOff>104775</xdr:rowOff>
    </xdr:to>
    <xdr:graphicFrame macro="">
      <xdr:nvGraphicFramePr>
        <xdr:cNvPr id="3" name="Chart 2">
          <a:extLst>
            <a:ext uri="{FF2B5EF4-FFF2-40B4-BE49-F238E27FC236}">
              <a16:creationId xmlns:a16="http://schemas.microsoft.com/office/drawing/2014/main" id="{C6089D97-877D-4A0E-BFFC-BDE822C0DF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36</xdr:col>
      <xdr:colOff>0</xdr:colOff>
      <xdr:row>34</xdr:row>
      <xdr:rowOff>0</xdr:rowOff>
    </xdr:from>
    <xdr:to>
      <xdr:col>43</xdr:col>
      <xdr:colOff>285750</xdr:colOff>
      <xdr:row>38</xdr:row>
      <xdr:rowOff>1114425</xdr:rowOff>
    </xdr:to>
    <xdr:graphicFrame macro="">
      <xdr:nvGraphicFramePr>
        <xdr:cNvPr id="4" name="Chart 3">
          <a:extLst>
            <a:ext uri="{FF2B5EF4-FFF2-40B4-BE49-F238E27FC236}">
              <a16:creationId xmlns:a16="http://schemas.microsoft.com/office/drawing/2014/main" id="{A1BA0F89-215B-4AE9-A8AE-9F8AA3A824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36</xdr:col>
      <xdr:colOff>196215</xdr:colOff>
      <xdr:row>4</xdr:row>
      <xdr:rowOff>120015</xdr:rowOff>
    </xdr:from>
    <xdr:to>
      <xdr:col>43</xdr:col>
      <xdr:colOff>497205</xdr:colOff>
      <xdr:row>19</xdr:row>
      <xdr:rowOff>76200</xdr:rowOff>
    </xdr:to>
    <xdr:graphicFrame macro="">
      <xdr:nvGraphicFramePr>
        <xdr:cNvPr id="2" name="Chart 1">
          <a:extLst>
            <a:ext uri="{FF2B5EF4-FFF2-40B4-BE49-F238E27FC236}">
              <a16:creationId xmlns:a16="http://schemas.microsoft.com/office/drawing/2014/main" id="{D9046F96-F35A-4A48-AFDC-63451793DF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36</xdr:col>
      <xdr:colOff>0</xdr:colOff>
      <xdr:row>18</xdr:row>
      <xdr:rowOff>0</xdr:rowOff>
    </xdr:from>
    <xdr:to>
      <xdr:col>43</xdr:col>
      <xdr:colOff>285750</xdr:colOff>
      <xdr:row>32</xdr:row>
      <xdr:rowOff>104775</xdr:rowOff>
    </xdr:to>
    <xdr:graphicFrame macro="">
      <xdr:nvGraphicFramePr>
        <xdr:cNvPr id="3" name="Chart 2">
          <a:extLst>
            <a:ext uri="{FF2B5EF4-FFF2-40B4-BE49-F238E27FC236}">
              <a16:creationId xmlns:a16="http://schemas.microsoft.com/office/drawing/2014/main" id="{2FA62DD3-F432-4BCB-A6AB-EF451FFC9B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36</xdr:col>
      <xdr:colOff>0</xdr:colOff>
      <xdr:row>34</xdr:row>
      <xdr:rowOff>0</xdr:rowOff>
    </xdr:from>
    <xdr:to>
      <xdr:col>43</xdr:col>
      <xdr:colOff>285750</xdr:colOff>
      <xdr:row>38</xdr:row>
      <xdr:rowOff>1114425</xdr:rowOff>
    </xdr:to>
    <xdr:graphicFrame macro="">
      <xdr:nvGraphicFramePr>
        <xdr:cNvPr id="4" name="Chart 3">
          <a:extLst>
            <a:ext uri="{FF2B5EF4-FFF2-40B4-BE49-F238E27FC236}">
              <a16:creationId xmlns:a16="http://schemas.microsoft.com/office/drawing/2014/main" id="{4D73B318-8F9E-452A-825E-0EF9EFA4B5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36</xdr:col>
      <xdr:colOff>196215</xdr:colOff>
      <xdr:row>4</xdr:row>
      <xdr:rowOff>120015</xdr:rowOff>
    </xdr:from>
    <xdr:to>
      <xdr:col>43</xdr:col>
      <xdr:colOff>497205</xdr:colOff>
      <xdr:row>19</xdr:row>
      <xdr:rowOff>76200</xdr:rowOff>
    </xdr:to>
    <xdr:graphicFrame macro="">
      <xdr:nvGraphicFramePr>
        <xdr:cNvPr id="2" name="Chart 1">
          <a:extLst>
            <a:ext uri="{FF2B5EF4-FFF2-40B4-BE49-F238E27FC236}">
              <a16:creationId xmlns:a16="http://schemas.microsoft.com/office/drawing/2014/main" id="{54538594-25CC-40C7-B1E3-AF3FC8314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36</xdr:col>
      <xdr:colOff>0</xdr:colOff>
      <xdr:row>18</xdr:row>
      <xdr:rowOff>0</xdr:rowOff>
    </xdr:from>
    <xdr:to>
      <xdr:col>43</xdr:col>
      <xdr:colOff>285750</xdr:colOff>
      <xdr:row>32</xdr:row>
      <xdr:rowOff>104775</xdr:rowOff>
    </xdr:to>
    <xdr:graphicFrame macro="">
      <xdr:nvGraphicFramePr>
        <xdr:cNvPr id="3" name="Chart 2">
          <a:extLst>
            <a:ext uri="{FF2B5EF4-FFF2-40B4-BE49-F238E27FC236}">
              <a16:creationId xmlns:a16="http://schemas.microsoft.com/office/drawing/2014/main" id="{635D6E5B-6ADB-47F3-9B50-FA24D668E7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36</xdr:col>
      <xdr:colOff>0</xdr:colOff>
      <xdr:row>34</xdr:row>
      <xdr:rowOff>0</xdr:rowOff>
    </xdr:from>
    <xdr:to>
      <xdr:col>43</xdr:col>
      <xdr:colOff>285750</xdr:colOff>
      <xdr:row>38</xdr:row>
      <xdr:rowOff>1114425</xdr:rowOff>
    </xdr:to>
    <xdr:graphicFrame macro="">
      <xdr:nvGraphicFramePr>
        <xdr:cNvPr id="4" name="Chart 3">
          <a:extLst>
            <a:ext uri="{FF2B5EF4-FFF2-40B4-BE49-F238E27FC236}">
              <a16:creationId xmlns:a16="http://schemas.microsoft.com/office/drawing/2014/main" id="{77D7E651-5E42-457D-9140-D9DF4979C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Clients\DECC%20MCS\Standards\Calculators\TSPEC%20Issued\Thermal%20Solar%20Performance%20Energy%20Calculator%20v1.2%20141008%20-%20UNLOCKE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hay\OneDrive\Documents\Fuinniv\Contacts\SEAI\BEREPBD\DBER\Heat%20pumps\DEAP%20Q4%202019%20Q1%202020%20Heat%20pump%20update\References\DEAP-4.2.1-Workbook%20unprotecte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sers\john.davies\Documents\A_JDGD\Standards\EN15316-4-2-2008\ASHPs\HTHP's\15316_4_2%20SAPQ%20Model%20A_W%20HTHP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unprotected%20too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pe"/>
      <sheetName val="Calculator"/>
      <sheetName val="Version Control"/>
      <sheetName val="Calculation"/>
      <sheetName val="SAP Regions"/>
    </sheetNames>
    <sheetDataSet>
      <sheetData sheetId="0" refreshError="1"/>
      <sheetData sheetId="1">
        <row r="14">
          <cell r="K14">
            <v>1</v>
          </cell>
        </row>
        <row r="34">
          <cell r="L34">
            <v>0</v>
          </cell>
        </row>
        <row r="37">
          <cell r="F37">
            <v>1</v>
          </cell>
          <cell r="L37">
            <v>0</v>
          </cell>
        </row>
        <row r="38">
          <cell r="L38">
            <v>1</v>
          </cell>
        </row>
        <row r="51">
          <cell r="F51" t="e">
            <v>#VALUE!</v>
          </cell>
        </row>
        <row r="54">
          <cell r="F54" t="e">
            <v>#N/A</v>
          </cell>
        </row>
        <row r="58">
          <cell r="J58" t="e">
            <v>#N/A</v>
          </cell>
        </row>
        <row r="92">
          <cell r="L92" t="e">
            <v>#N/A</v>
          </cell>
        </row>
      </sheetData>
      <sheetData sheetId="2" refreshError="1"/>
      <sheetData sheetId="3">
        <row r="12">
          <cell r="F12" t="e">
            <v>#VALUE!</v>
          </cell>
        </row>
        <row r="13">
          <cell r="F13" t="e">
            <v>#VALUE!</v>
          </cell>
        </row>
        <row r="14">
          <cell r="AI14">
            <v>0</v>
          </cell>
          <cell r="AJ14" t="str">
            <v>(H3b)</v>
          </cell>
        </row>
        <row r="15">
          <cell r="AI15" t="e">
            <v>#DIV/0!</v>
          </cell>
          <cell r="AJ15" t="str">
            <v>(H4)</v>
          </cell>
        </row>
        <row r="21">
          <cell r="N21" t="str">
            <v>in degrees</v>
          </cell>
        </row>
        <row r="22">
          <cell r="N22" t="str">
            <v>in radians</v>
          </cell>
        </row>
        <row r="24">
          <cell r="N24" t="str">
            <v>(_H5)</v>
          </cell>
          <cell r="AF24" t="str">
            <v>(H7)</v>
          </cell>
          <cell r="AH24" t="str">
            <v>(H9)</v>
          </cell>
          <cell r="AI24" t="str">
            <v>(H10)</v>
          </cell>
          <cell r="AJ24" t="str">
            <v>(H13)</v>
          </cell>
          <cell r="AK24" t="str">
            <v>(H15)</v>
          </cell>
          <cell r="AL24" t="str">
            <v>(H16)</v>
          </cell>
        </row>
        <row r="25">
          <cell r="N25" t="str">
            <v>S</v>
          </cell>
          <cell r="P25">
            <v>1</v>
          </cell>
          <cell r="Q25">
            <v>2</v>
          </cell>
          <cell r="R25">
            <v>3</v>
          </cell>
          <cell r="S25">
            <v>4</v>
          </cell>
          <cell r="T25">
            <v>5</v>
          </cell>
          <cell r="U25">
            <v>6</v>
          </cell>
          <cell r="V25">
            <v>7</v>
          </cell>
          <cell r="W25">
            <v>8</v>
          </cell>
          <cell r="X25">
            <v>9</v>
          </cell>
        </row>
        <row r="26">
          <cell r="N26" t="str">
            <v>Year</v>
          </cell>
          <cell r="P26" t="str">
            <v>k1</v>
          </cell>
          <cell r="Q26" t="str">
            <v>k2</v>
          </cell>
          <cell r="R26" t="str">
            <v>k3</v>
          </cell>
          <cell r="S26" t="str">
            <v>k4</v>
          </cell>
          <cell r="T26" t="str">
            <v>k5</v>
          </cell>
          <cell r="U26" t="str">
            <v>k6</v>
          </cell>
          <cell r="V26" t="str">
            <v>k7</v>
          </cell>
          <cell r="W26" t="str">
            <v>k8</v>
          </cell>
          <cell r="X26" t="str">
            <v>k9</v>
          </cell>
          <cell r="Y26" t="str">
            <v>Pitch</v>
          </cell>
          <cell r="Z26" t="str">
            <v>A</v>
          </cell>
          <cell r="AA26" t="str">
            <v>B</v>
          </cell>
          <cell r="AB26" t="str">
            <v>C</v>
          </cell>
          <cell r="AF26" t="str">
            <v>Solar Energy Available</v>
          </cell>
          <cell r="AH26" t="str">
            <v>Utilisation factor</v>
          </cell>
          <cell r="AI26" t="str">
            <v>Collector performance factor</v>
          </cell>
          <cell r="AJ26" t="str">
            <v>Effective solar volume Veff</v>
          </cell>
          <cell r="AK26" t="str">
            <v>Volume Ratio Veff/Vd</v>
          </cell>
          <cell r="AL26" t="str">
            <v>Solar storage volume factor</v>
          </cell>
        </row>
        <row r="27">
          <cell r="N27" t="str">
            <v>(kWh/m2)</v>
          </cell>
          <cell r="Y27" t="str">
            <v>(rad)_</v>
          </cell>
          <cell r="AF27" t="str">
            <v>(kWh/year)</v>
          </cell>
        </row>
        <row r="28">
          <cell r="N28" t="e">
            <v>#VALUE!</v>
          </cell>
          <cell r="P28">
            <v>-0.66</v>
          </cell>
          <cell r="Q28">
            <v>-0.106</v>
          </cell>
          <cell r="R28">
            <v>2.93</v>
          </cell>
          <cell r="S28">
            <v>3.63</v>
          </cell>
          <cell r="T28">
            <v>-0.374</v>
          </cell>
          <cell r="U28">
            <v>-7.4</v>
          </cell>
          <cell r="V28">
            <v>-2.71</v>
          </cell>
          <cell r="W28">
            <v>-0.99099999999999999</v>
          </cell>
          <cell r="X28">
            <v>4.59</v>
          </cell>
          <cell r="Y28">
            <v>0</v>
          </cell>
          <cell r="Z28">
            <v>0</v>
          </cell>
          <cell r="AA28">
            <v>0</v>
          </cell>
          <cell r="AB28">
            <v>1</v>
          </cell>
          <cell r="AD28">
            <v>61</v>
          </cell>
          <cell r="AE28">
            <v>961.10583333333329</v>
          </cell>
          <cell r="AF28" t="e">
            <v>#VALUE!</v>
          </cell>
          <cell r="AG28" t="e">
            <v>#VALUE!</v>
          </cell>
          <cell r="AH28" t="e">
            <v>#VALUE!</v>
          </cell>
          <cell r="AI28" t="e">
            <v>#DIV/0!</v>
          </cell>
          <cell r="AJ28">
            <v>0</v>
          </cell>
          <cell r="AK28">
            <v>0</v>
          </cell>
          <cell r="AL28" t="e">
            <v>#NUM!</v>
          </cell>
          <cell r="AM28" t="e">
            <v>#VALUE!</v>
          </cell>
        </row>
        <row r="31">
          <cell r="P31" t="str">
            <v>Constants for calculation of solar flux are set according to the orientation of the panels</v>
          </cell>
        </row>
        <row r="38">
          <cell r="N38" t="str">
            <v>Nov</v>
          </cell>
          <cell r="Q38" t="str">
            <v>U4 Latitude</v>
          </cell>
        </row>
        <row r="39">
          <cell r="N39">
            <v>33</v>
          </cell>
          <cell r="Q39">
            <v>53.5</v>
          </cell>
        </row>
        <row r="40">
          <cell r="N40">
            <v>39</v>
          </cell>
          <cell r="Q40">
            <v>51.6</v>
          </cell>
        </row>
        <row r="41">
          <cell r="N41">
            <v>41</v>
          </cell>
          <cell r="Q41">
            <v>51.1</v>
          </cell>
        </row>
        <row r="42">
          <cell r="N42">
            <v>44</v>
          </cell>
          <cell r="Q42">
            <v>50.9</v>
          </cell>
        </row>
        <row r="43">
          <cell r="N43">
            <v>44</v>
          </cell>
          <cell r="Q43">
            <v>50.5</v>
          </cell>
        </row>
        <row r="44">
          <cell r="N44">
            <v>40</v>
          </cell>
          <cell r="Q44">
            <v>51.5</v>
          </cell>
        </row>
        <row r="45">
          <cell r="N45">
            <v>35</v>
          </cell>
          <cell r="Q45">
            <v>52.6</v>
          </cell>
        </row>
        <row r="46">
          <cell r="N46">
            <v>31</v>
          </cell>
          <cell r="Q46">
            <v>53.5</v>
          </cell>
        </row>
        <row r="47">
          <cell r="N47">
            <v>30</v>
          </cell>
          <cell r="Q47">
            <v>54.6</v>
          </cell>
        </row>
        <row r="48">
          <cell r="N48">
            <v>30</v>
          </cell>
          <cell r="Q48">
            <v>55.2</v>
          </cell>
        </row>
        <row r="49">
          <cell r="N49">
            <v>32</v>
          </cell>
          <cell r="Q49">
            <v>54.4</v>
          </cell>
        </row>
        <row r="50">
          <cell r="N50">
            <v>33</v>
          </cell>
          <cell r="Q50">
            <v>53.5</v>
          </cell>
        </row>
        <row r="51">
          <cell r="N51">
            <v>39</v>
          </cell>
          <cell r="Q51">
            <v>52.1</v>
          </cell>
        </row>
        <row r="52">
          <cell r="N52">
            <v>35</v>
          </cell>
          <cell r="Q52">
            <v>52.6</v>
          </cell>
        </row>
        <row r="53">
          <cell r="N53">
            <v>25</v>
          </cell>
          <cell r="Q53">
            <v>55.9</v>
          </cell>
        </row>
        <row r="54">
          <cell r="N54">
            <v>27</v>
          </cell>
          <cell r="Q54">
            <v>56.2</v>
          </cell>
        </row>
        <row r="55">
          <cell r="N55">
            <v>25</v>
          </cell>
          <cell r="Q55">
            <v>57.3</v>
          </cell>
        </row>
        <row r="56">
          <cell r="N56">
            <v>22</v>
          </cell>
          <cell r="Q56">
            <v>57.5</v>
          </cell>
        </row>
        <row r="57">
          <cell r="N57">
            <v>21</v>
          </cell>
          <cell r="Q57">
            <v>57.7</v>
          </cell>
        </row>
        <row r="58">
          <cell r="N58">
            <v>19</v>
          </cell>
          <cell r="Q58">
            <v>59</v>
          </cell>
        </row>
        <row r="59">
          <cell r="N59">
            <v>16</v>
          </cell>
          <cell r="Q59">
            <v>60.1</v>
          </cell>
        </row>
        <row r="60">
          <cell r="N60">
            <v>30</v>
          </cell>
          <cell r="Q60">
            <v>54.6</v>
          </cell>
        </row>
        <row r="77">
          <cell r="N77" t="str">
            <v>Nov</v>
          </cell>
        </row>
        <row r="78">
          <cell r="N78">
            <v>30</v>
          </cell>
        </row>
        <row r="86">
          <cell r="C86">
            <v>0</v>
          </cell>
          <cell r="D86">
            <v>1</v>
          </cell>
          <cell r="E86">
            <v>2</v>
          </cell>
          <cell r="F86">
            <v>3</v>
          </cell>
          <cell r="G86">
            <v>4</v>
          </cell>
          <cell r="H86">
            <v>5</v>
          </cell>
          <cell r="I86">
            <v>6</v>
          </cell>
          <cell r="J86">
            <v>7</v>
          </cell>
          <cell r="K86">
            <v>8</v>
          </cell>
          <cell r="L86">
            <v>9</v>
          </cell>
          <cell r="M86">
            <v>10</v>
          </cell>
          <cell r="N86">
            <v>11</v>
          </cell>
          <cell r="O86">
            <v>12</v>
          </cell>
          <cell r="P86">
            <v>13</v>
          </cell>
          <cell r="Q86">
            <v>14</v>
          </cell>
          <cell r="R86">
            <v>15</v>
          </cell>
          <cell r="S86">
            <v>16</v>
          </cell>
          <cell r="T86">
            <v>17</v>
          </cell>
          <cell r="U86">
            <v>18</v>
          </cell>
          <cell r="V86">
            <v>19</v>
          </cell>
          <cell r="W86">
            <v>20</v>
          </cell>
          <cell r="X86">
            <v>21</v>
          </cell>
          <cell r="Y86">
            <v>22</v>
          </cell>
          <cell r="Z86">
            <v>23</v>
          </cell>
          <cell r="AA86">
            <v>24</v>
          </cell>
          <cell r="AB86">
            <v>25</v>
          </cell>
          <cell r="AC86">
            <v>26</v>
          </cell>
          <cell r="AD86">
            <v>27</v>
          </cell>
          <cell r="AE86">
            <v>28</v>
          </cell>
          <cell r="AF86">
            <v>29</v>
          </cell>
          <cell r="AG86">
            <v>30</v>
          </cell>
          <cell r="AH86">
            <v>31</v>
          </cell>
          <cell r="AI86">
            <v>32</v>
          </cell>
          <cell r="AJ86">
            <v>33</v>
          </cell>
          <cell r="AK86">
            <v>34</v>
          </cell>
          <cell r="AL86">
            <v>35</v>
          </cell>
          <cell r="AM86">
            <v>36</v>
          </cell>
          <cell r="AN86">
            <v>37</v>
          </cell>
          <cell r="AO86">
            <v>38</v>
          </cell>
          <cell r="AP86">
            <v>39</v>
          </cell>
          <cell r="AQ86">
            <v>40</v>
          </cell>
          <cell r="AR86">
            <v>41</v>
          </cell>
          <cell r="AS86">
            <v>42</v>
          </cell>
          <cell r="AT86">
            <v>43</v>
          </cell>
          <cell r="AU86">
            <v>44</v>
          </cell>
          <cell r="AV86">
            <v>45</v>
          </cell>
          <cell r="AW86">
            <v>46</v>
          </cell>
          <cell r="AX86">
            <v>47</v>
          </cell>
          <cell r="AY86">
            <v>48</v>
          </cell>
          <cell r="AZ86">
            <v>49</v>
          </cell>
          <cell r="BA86">
            <v>50</v>
          </cell>
          <cell r="BB86">
            <v>51</v>
          </cell>
          <cell r="BC86">
            <v>52</v>
          </cell>
          <cell r="BD86">
            <v>53</v>
          </cell>
          <cell r="BE86">
            <v>54</v>
          </cell>
          <cell r="BF86">
            <v>55</v>
          </cell>
          <cell r="BG86">
            <v>56</v>
          </cell>
          <cell r="BH86">
            <v>57</v>
          </cell>
          <cell r="BI86">
            <v>58</v>
          </cell>
          <cell r="BJ86">
            <v>59</v>
          </cell>
          <cell r="BK86">
            <v>60</v>
          </cell>
          <cell r="BL86">
            <v>61</v>
          </cell>
          <cell r="BM86">
            <v>62</v>
          </cell>
          <cell r="BN86">
            <v>63</v>
          </cell>
          <cell r="BO86">
            <v>64</v>
          </cell>
          <cell r="BP86">
            <v>65</v>
          </cell>
          <cell r="BQ86">
            <v>66</v>
          </cell>
          <cell r="BR86">
            <v>67</v>
          </cell>
          <cell r="BS86">
            <v>68</v>
          </cell>
          <cell r="BT86">
            <v>69</v>
          </cell>
          <cell r="BU86">
            <v>70</v>
          </cell>
          <cell r="BV86">
            <v>71</v>
          </cell>
          <cell r="BW86">
            <v>72</v>
          </cell>
          <cell r="BX86">
            <v>73</v>
          </cell>
          <cell r="BY86">
            <v>74</v>
          </cell>
          <cell r="BZ86">
            <v>75</v>
          </cell>
          <cell r="CA86">
            <v>76</v>
          </cell>
          <cell r="CB86">
            <v>77</v>
          </cell>
          <cell r="CC86">
            <v>78</v>
          </cell>
          <cell r="CD86">
            <v>79</v>
          </cell>
          <cell r="CE86">
            <v>80</v>
          </cell>
          <cell r="CF86">
            <v>81</v>
          </cell>
          <cell r="CG86">
            <v>82</v>
          </cell>
          <cell r="CH86">
            <v>83</v>
          </cell>
          <cell r="CI86">
            <v>84</v>
          </cell>
          <cell r="CJ86">
            <v>85</v>
          </cell>
          <cell r="CK86">
            <v>86</v>
          </cell>
          <cell r="CL86">
            <v>87</v>
          </cell>
          <cell r="CM86">
            <v>88</v>
          </cell>
          <cell r="CN86">
            <v>89</v>
          </cell>
          <cell r="CO86">
            <v>90</v>
          </cell>
          <cell r="CP86">
            <v>91</v>
          </cell>
          <cell r="CQ86">
            <v>92</v>
          </cell>
          <cell r="CR86">
            <v>93</v>
          </cell>
          <cell r="CS86">
            <v>94</v>
          </cell>
          <cell r="CT86">
            <v>95</v>
          </cell>
          <cell r="CU86">
            <v>96</v>
          </cell>
          <cell r="CV86">
            <v>97</v>
          </cell>
          <cell r="CW86">
            <v>98</v>
          </cell>
          <cell r="CX86">
            <v>99</v>
          </cell>
          <cell r="CY86">
            <v>100</v>
          </cell>
          <cell r="CZ86">
            <v>101</v>
          </cell>
          <cell r="DA86">
            <v>102</v>
          </cell>
          <cell r="DB86">
            <v>103</v>
          </cell>
          <cell r="DC86">
            <v>104</v>
          </cell>
          <cell r="DD86">
            <v>105</v>
          </cell>
          <cell r="DE86">
            <v>106</v>
          </cell>
          <cell r="DF86">
            <v>107</v>
          </cell>
          <cell r="DG86">
            <v>108</v>
          </cell>
          <cell r="DH86">
            <v>109</v>
          </cell>
          <cell r="DI86">
            <v>110</v>
          </cell>
          <cell r="DJ86">
            <v>111</v>
          </cell>
          <cell r="DK86">
            <v>112</v>
          </cell>
          <cell r="DL86">
            <v>113</v>
          </cell>
          <cell r="DM86">
            <v>114</v>
          </cell>
          <cell r="DN86">
            <v>115</v>
          </cell>
          <cell r="DO86">
            <v>116</v>
          </cell>
          <cell r="DP86">
            <v>117</v>
          </cell>
          <cell r="DQ86">
            <v>118</v>
          </cell>
          <cell r="DR86">
            <v>119</v>
          </cell>
          <cell r="DS86">
            <v>120</v>
          </cell>
          <cell r="DT86">
            <v>121</v>
          </cell>
          <cell r="DU86">
            <v>122</v>
          </cell>
          <cell r="DV86">
            <v>123</v>
          </cell>
          <cell r="DW86">
            <v>124</v>
          </cell>
          <cell r="DX86">
            <v>125</v>
          </cell>
          <cell r="DY86">
            <v>126</v>
          </cell>
          <cell r="DZ86">
            <v>127</v>
          </cell>
          <cell r="EA86">
            <v>128</v>
          </cell>
          <cell r="EB86">
            <v>129</v>
          </cell>
          <cell r="EC86">
            <v>130</v>
          </cell>
          <cell r="ED86">
            <v>131</v>
          </cell>
          <cell r="EE86">
            <v>132</v>
          </cell>
          <cell r="EF86">
            <v>133</v>
          </cell>
          <cell r="EG86">
            <v>134</v>
          </cell>
          <cell r="EH86">
            <v>135</v>
          </cell>
          <cell r="EI86">
            <v>136</v>
          </cell>
          <cell r="EJ86">
            <v>137</v>
          </cell>
          <cell r="EK86">
            <v>138</v>
          </cell>
          <cell r="EL86">
            <v>139</v>
          </cell>
          <cell r="EM86">
            <v>140</v>
          </cell>
          <cell r="EN86">
            <v>141</v>
          </cell>
          <cell r="EO86">
            <v>142</v>
          </cell>
          <cell r="EP86">
            <v>143</v>
          </cell>
          <cell r="EQ86">
            <v>144</v>
          </cell>
          <cell r="ER86">
            <v>145</v>
          </cell>
          <cell r="ES86">
            <v>146</v>
          </cell>
          <cell r="ET86">
            <v>147</v>
          </cell>
          <cell r="EU86">
            <v>148</v>
          </cell>
          <cell r="EV86">
            <v>149</v>
          </cell>
          <cell r="EW86">
            <v>150</v>
          </cell>
          <cell r="EX86">
            <v>151</v>
          </cell>
          <cell r="EY86">
            <v>152</v>
          </cell>
          <cell r="EZ86">
            <v>153</v>
          </cell>
          <cell r="FA86">
            <v>154</v>
          </cell>
          <cell r="FB86">
            <v>155</v>
          </cell>
          <cell r="FC86">
            <v>156</v>
          </cell>
          <cell r="FD86">
            <v>157</v>
          </cell>
          <cell r="FE86">
            <v>158</v>
          </cell>
          <cell r="FF86">
            <v>159</v>
          </cell>
          <cell r="FG86">
            <v>160</v>
          </cell>
          <cell r="FH86">
            <v>161</v>
          </cell>
          <cell r="FI86">
            <v>162</v>
          </cell>
          <cell r="FJ86">
            <v>163</v>
          </cell>
          <cell r="FK86">
            <v>164</v>
          </cell>
          <cell r="FL86">
            <v>165</v>
          </cell>
          <cell r="FM86">
            <v>166</v>
          </cell>
          <cell r="FN86">
            <v>167</v>
          </cell>
          <cell r="FO86">
            <v>168</v>
          </cell>
          <cell r="FP86">
            <v>169</v>
          </cell>
          <cell r="FQ86">
            <v>170</v>
          </cell>
          <cell r="FR86">
            <v>171</v>
          </cell>
          <cell r="FS86">
            <v>172</v>
          </cell>
          <cell r="FT86">
            <v>173</v>
          </cell>
          <cell r="FU86">
            <v>174</v>
          </cell>
          <cell r="FV86">
            <v>175</v>
          </cell>
          <cell r="FW86">
            <v>176</v>
          </cell>
          <cell r="FX86">
            <v>177</v>
          </cell>
          <cell r="FY86">
            <v>178</v>
          </cell>
          <cell r="FZ86">
            <v>179</v>
          </cell>
          <cell r="GA86">
            <v>180</v>
          </cell>
        </row>
        <row r="87">
          <cell r="C87" t="str">
            <v>South</v>
          </cell>
          <cell r="AV87" t="str">
            <v>SE/SW</v>
          </cell>
          <cell r="CO87" t="str">
            <v>E/W</v>
          </cell>
          <cell r="EH87" t="str">
            <v>NE/NW</v>
          </cell>
          <cell r="GA87" t="str">
            <v>North</v>
          </cell>
        </row>
        <row r="88">
          <cell r="B88" t="str">
            <v>k1</v>
          </cell>
          <cell r="C88">
            <v>-0.66</v>
          </cell>
          <cell r="D88">
            <v>-0.7108888888888889</v>
          </cell>
          <cell r="E88">
            <v>-0.76177777777777778</v>
          </cell>
          <cell r="F88">
            <v>-0.81266666666666665</v>
          </cell>
          <cell r="G88">
            <v>-0.86355555555555552</v>
          </cell>
          <cell r="H88">
            <v>-0.91444444444444439</v>
          </cell>
          <cell r="I88">
            <v>-0.96533333333333327</v>
          </cell>
          <cell r="J88">
            <v>-1.0162222222222221</v>
          </cell>
          <cell r="K88">
            <v>-1.0671111111111111</v>
          </cell>
          <cell r="L88">
            <v>-1.1180000000000001</v>
          </cell>
          <cell r="M88">
            <v>-1.1688888888888891</v>
          </cell>
          <cell r="N88">
            <v>-1.2197777777777781</v>
          </cell>
          <cell r="O88">
            <v>-1.2706666666666671</v>
          </cell>
          <cell r="P88">
            <v>-1.321555555555556</v>
          </cell>
          <cell r="Q88">
            <v>-1.372444444444445</v>
          </cell>
          <cell r="R88">
            <v>-1.423333333333334</v>
          </cell>
          <cell r="S88">
            <v>-1.474222222222223</v>
          </cell>
          <cell r="T88">
            <v>-1.525111111111112</v>
          </cell>
          <cell r="U88">
            <v>-1.576000000000001</v>
          </cell>
          <cell r="V88">
            <v>-1.6268888888888899</v>
          </cell>
          <cell r="W88">
            <v>-1.6777777777777789</v>
          </cell>
          <cell r="X88">
            <v>-1.7286666666666679</v>
          </cell>
          <cell r="Y88">
            <v>-1.7795555555555569</v>
          </cell>
          <cell r="Z88">
            <v>-1.8304444444444459</v>
          </cell>
          <cell r="AA88">
            <v>-1.8813333333333349</v>
          </cell>
          <cell r="AB88">
            <v>-1.9322222222222238</v>
          </cell>
          <cell r="AC88">
            <v>-1.9831111111111128</v>
          </cell>
          <cell r="AD88">
            <v>-2.0340000000000016</v>
          </cell>
          <cell r="AE88">
            <v>-2.0848888888888903</v>
          </cell>
          <cell r="AF88">
            <v>-2.1357777777777791</v>
          </cell>
          <cell r="AG88">
            <v>-2.1866666666666679</v>
          </cell>
          <cell r="AH88">
            <v>-2.2375555555555566</v>
          </cell>
          <cell r="AI88">
            <v>-2.2884444444444454</v>
          </cell>
          <cell r="AJ88">
            <v>-2.3393333333333342</v>
          </cell>
          <cell r="AK88">
            <v>-2.3902222222222229</v>
          </cell>
          <cell r="AL88">
            <v>-2.4411111111111117</v>
          </cell>
          <cell r="AM88">
            <v>-2.4920000000000004</v>
          </cell>
          <cell r="AN88">
            <v>-2.5428888888888892</v>
          </cell>
          <cell r="AO88">
            <v>-2.593777777777778</v>
          </cell>
          <cell r="AP88">
            <v>-2.6446666666666667</v>
          </cell>
          <cell r="AQ88">
            <v>-2.6955555555555555</v>
          </cell>
          <cell r="AR88">
            <v>-2.7464444444444442</v>
          </cell>
          <cell r="AS88">
            <v>-2.797333333333333</v>
          </cell>
          <cell r="AT88">
            <v>-2.8482222222222218</v>
          </cell>
          <cell r="AU88">
            <v>-2.8991111111111105</v>
          </cell>
          <cell r="AV88">
            <v>-2.95</v>
          </cell>
          <cell r="AW88">
            <v>-2.8524444444444446</v>
          </cell>
          <cell r="AX88">
            <v>-2.7548888888888889</v>
          </cell>
          <cell r="AY88">
            <v>-2.6573333333333333</v>
          </cell>
          <cell r="AZ88">
            <v>-2.5597777777777777</v>
          </cell>
          <cell r="BA88">
            <v>-2.4622222222222221</v>
          </cell>
          <cell r="BB88">
            <v>-2.3646666666666665</v>
          </cell>
          <cell r="BC88">
            <v>-2.2671111111111109</v>
          </cell>
          <cell r="BD88">
            <v>-2.1695555555555552</v>
          </cell>
          <cell r="BE88">
            <v>-2.0719999999999996</v>
          </cell>
          <cell r="BF88">
            <v>-1.974444444444444</v>
          </cell>
          <cell r="BG88">
            <v>-1.8768888888888884</v>
          </cell>
          <cell r="BH88">
            <v>-1.7793333333333328</v>
          </cell>
          <cell r="BI88">
            <v>-1.6817777777777771</v>
          </cell>
          <cell r="BJ88">
            <v>-1.5842222222222215</v>
          </cell>
          <cell r="BK88">
            <v>-1.4866666666666659</v>
          </cell>
          <cell r="BL88">
            <v>-1.3891111111111103</v>
          </cell>
          <cell r="BM88">
            <v>-1.2915555555555547</v>
          </cell>
          <cell r="BN88">
            <v>-1.1939999999999991</v>
          </cell>
          <cell r="BO88">
            <v>-1.0964444444444434</v>
          </cell>
          <cell r="BP88">
            <v>-0.99888888888888783</v>
          </cell>
          <cell r="BQ88">
            <v>-0.90133333333333221</v>
          </cell>
          <cell r="BR88">
            <v>-0.80377777777777659</v>
          </cell>
          <cell r="BS88">
            <v>-0.70622222222222097</v>
          </cell>
          <cell r="BT88">
            <v>-0.60866666666666536</v>
          </cell>
          <cell r="BU88">
            <v>-0.51111111111110974</v>
          </cell>
          <cell r="BV88">
            <v>-0.41355555555555418</v>
          </cell>
          <cell r="BW88">
            <v>-0.31599999999999862</v>
          </cell>
          <cell r="BX88">
            <v>-0.21844444444444305</v>
          </cell>
          <cell r="BY88">
            <v>-0.12088888888888749</v>
          </cell>
          <cell r="BZ88">
            <v>-2.3333333333331929E-2</v>
          </cell>
          <cell r="CA88">
            <v>7.4222222222223633E-2</v>
          </cell>
          <cell r="CB88">
            <v>0.17177777777777919</v>
          </cell>
          <cell r="CC88">
            <v>0.26933333333333476</v>
          </cell>
          <cell r="CD88">
            <v>0.36688888888889032</v>
          </cell>
          <cell r="CE88">
            <v>0.46444444444444588</v>
          </cell>
          <cell r="CF88">
            <v>0.56200000000000139</v>
          </cell>
          <cell r="CG88">
            <v>0.659555555555557</v>
          </cell>
          <cell r="CH88">
            <v>0.75711111111111262</v>
          </cell>
          <cell r="CI88">
            <v>0.85466666666666824</v>
          </cell>
          <cell r="CJ88">
            <v>0.95222222222222386</v>
          </cell>
          <cell r="CK88">
            <v>1.0497777777777795</v>
          </cell>
          <cell r="CL88">
            <v>1.1473333333333351</v>
          </cell>
          <cell r="CM88">
            <v>1.2448888888888907</v>
          </cell>
          <cell r="CN88">
            <v>1.3424444444444463</v>
          </cell>
          <cell r="CO88">
            <v>1.44</v>
          </cell>
          <cell r="CP88">
            <v>1.4116666666666666</v>
          </cell>
          <cell r="CQ88">
            <v>1.3833333333333333</v>
          </cell>
          <cell r="CR88">
            <v>1.355</v>
          </cell>
          <cell r="CS88">
            <v>1.3266666666666667</v>
          </cell>
          <cell r="CT88">
            <v>1.2983333333333333</v>
          </cell>
          <cell r="CU88">
            <v>1.27</v>
          </cell>
          <cell r="CV88">
            <v>1.2416666666666667</v>
          </cell>
          <cell r="CW88">
            <v>1.2133333333333334</v>
          </cell>
          <cell r="CX88">
            <v>1.1850000000000001</v>
          </cell>
          <cell r="CY88">
            <v>1.1566666666666667</v>
          </cell>
          <cell r="CZ88">
            <v>1.1283333333333334</v>
          </cell>
          <cell r="DA88">
            <v>1.1000000000000001</v>
          </cell>
          <cell r="DB88">
            <v>1.0716666666666668</v>
          </cell>
          <cell r="DC88">
            <v>1.0433333333333334</v>
          </cell>
          <cell r="DD88">
            <v>1.0150000000000001</v>
          </cell>
          <cell r="DE88">
            <v>0.9866666666666668</v>
          </cell>
          <cell r="DF88">
            <v>0.95833333333333348</v>
          </cell>
          <cell r="DG88">
            <v>0.93000000000000016</v>
          </cell>
          <cell r="DH88">
            <v>0.90166666666666684</v>
          </cell>
          <cell r="DI88">
            <v>0.87333333333333352</v>
          </cell>
          <cell r="DJ88">
            <v>0.8450000000000002</v>
          </cell>
          <cell r="DK88">
            <v>0.81666666666666687</v>
          </cell>
          <cell r="DL88">
            <v>0.78833333333333355</v>
          </cell>
          <cell r="DM88">
            <v>0.76000000000000023</v>
          </cell>
          <cell r="DN88">
            <v>0.73166666666666691</v>
          </cell>
          <cell r="DO88">
            <v>0.70333333333333359</v>
          </cell>
          <cell r="DP88">
            <v>0.67500000000000027</v>
          </cell>
          <cell r="DQ88">
            <v>0.64666666666666694</v>
          </cell>
          <cell r="DR88">
            <v>0.61833333333333362</v>
          </cell>
          <cell r="DS88">
            <v>0.5900000000000003</v>
          </cell>
          <cell r="DT88">
            <v>0.56166666666666698</v>
          </cell>
          <cell r="DU88">
            <v>0.53333333333333366</v>
          </cell>
          <cell r="DV88">
            <v>0.50500000000000034</v>
          </cell>
          <cell r="DW88">
            <v>0.47666666666666702</v>
          </cell>
          <cell r="DX88">
            <v>0.44833333333333369</v>
          </cell>
          <cell r="DY88">
            <v>0.42000000000000037</v>
          </cell>
          <cell r="DZ88">
            <v>0.39166666666666705</v>
          </cell>
          <cell r="EA88">
            <v>0.36333333333333373</v>
          </cell>
          <cell r="EB88">
            <v>0.33500000000000041</v>
          </cell>
          <cell r="EC88">
            <v>0.30666666666666709</v>
          </cell>
          <cell r="ED88">
            <v>0.27833333333333377</v>
          </cell>
          <cell r="EE88">
            <v>0.25000000000000044</v>
          </cell>
          <cell r="EF88">
            <v>0.22166666666666712</v>
          </cell>
          <cell r="EG88">
            <v>0.1933333333333338</v>
          </cell>
          <cell r="EH88">
            <v>0.16500000000000001</v>
          </cell>
          <cell r="EI88">
            <v>0.74577777777777787</v>
          </cell>
          <cell r="EJ88">
            <v>1.3265555555555557</v>
          </cell>
          <cell r="EK88">
            <v>1.9073333333333335</v>
          </cell>
          <cell r="EL88">
            <v>2.4881111111111114</v>
          </cell>
          <cell r="EM88">
            <v>3.068888888888889</v>
          </cell>
          <cell r="EN88">
            <v>3.6496666666666666</v>
          </cell>
          <cell r="EO88">
            <v>4.2304444444444442</v>
          </cell>
          <cell r="EP88">
            <v>4.8112222222222218</v>
          </cell>
          <cell r="EQ88">
            <v>5.3919999999999995</v>
          </cell>
          <cell r="ER88">
            <v>5.9727777777777771</v>
          </cell>
          <cell r="ES88">
            <v>6.5535555555555547</v>
          </cell>
          <cell r="ET88">
            <v>7.1343333333333323</v>
          </cell>
          <cell r="EU88">
            <v>7.7151111111111099</v>
          </cell>
          <cell r="EV88">
            <v>8.2958888888888875</v>
          </cell>
          <cell r="EW88">
            <v>8.8766666666666652</v>
          </cell>
          <cell r="EX88">
            <v>9.4574444444444428</v>
          </cell>
          <cell r="EY88">
            <v>10.03822222222222</v>
          </cell>
          <cell r="EZ88">
            <v>10.618999999999998</v>
          </cell>
          <cell r="FA88">
            <v>11.199777777777776</v>
          </cell>
          <cell r="FB88">
            <v>11.780555555555553</v>
          </cell>
          <cell r="FC88">
            <v>12.361333333333331</v>
          </cell>
          <cell r="FD88">
            <v>12.942111111111108</v>
          </cell>
          <cell r="FE88">
            <v>13.522888888888886</v>
          </cell>
          <cell r="FF88">
            <v>14.103666666666664</v>
          </cell>
          <cell r="FG88">
            <v>14.684444444444441</v>
          </cell>
          <cell r="FH88">
            <v>15.265222222222219</v>
          </cell>
          <cell r="FI88">
            <v>15.845999999999997</v>
          </cell>
          <cell r="FJ88">
            <v>16.426777777777776</v>
          </cell>
          <cell r="FK88">
            <v>17.007555555555555</v>
          </cell>
          <cell r="FL88">
            <v>17.588333333333335</v>
          </cell>
          <cell r="FM88">
            <v>18.169111111111114</v>
          </cell>
          <cell r="FN88">
            <v>18.749888888888893</v>
          </cell>
          <cell r="FO88">
            <v>19.330666666666673</v>
          </cell>
          <cell r="FP88">
            <v>19.911444444444452</v>
          </cell>
          <cell r="FQ88">
            <v>20.492222222222232</v>
          </cell>
          <cell r="FR88">
            <v>21.073000000000011</v>
          </cell>
          <cell r="FS88">
            <v>21.65377777777779</v>
          </cell>
          <cell r="FT88">
            <v>22.23455555555557</v>
          </cell>
          <cell r="FU88">
            <v>22.815333333333349</v>
          </cell>
          <cell r="FV88">
            <v>23.396111111111129</v>
          </cell>
          <cell r="FW88">
            <v>23.976888888888908</v>
          </cell>
          <cell r="FX88">
            <v>24.557666666666687</v>
          </cell>
          <cell r="FY88">
            <v>25.138444444444467</v>
          </cell>
          <cell r="FZ88">
            <v>25.719222222222246</v>
          </cell>
          <cell r="GA88">
            <v>26.3</v>
          </cell>
        </row>
        <row r="89">
          <cell r="B89" t="str">
            <v>k2</v>
          </cell>
          <cell r="C89">
            <v>-0.106</v>
          </cell>
          <cell r="D89">
            <v>-3.942222222222222E-2</v>
          </cell>
          <cell r="E89">
            <v>2.7155555555555558E-2</v>
          </cell>
          <cell r="F89">
            <v>9.3733333333333335E-2</v>
          </cell>
          <cell r="G89">
            <v>0.16031111111111113</v>
          </cell>
          <cell r="H89">
            <v>0.22688888888888892</v>
          </cell>
          <cell r="I89">
            <v>0.29346666666666671</v>
          </cell>
          <cell r="J89">
            <v>0.3600444444444445</v>
          </cell>
          <cell r="K89">
            <v>0.42662222222222229</v>
          </cell>
          <cell r="L89">
            <v>0.49320000000000008</v>
          </cell>
          <cell r="M89">
            <v>0.55977777777777782</v>
          </cell>
          <cell r="N89">
            <v>0.62635555555555555</v>
          </cell>
          <cell r="O89">
            <v>0.69293333333333329</v>
          </cell>
          <cell r="P89">
            <v>0.75951111111111103</v>
          </cell>
          <cell r="Q89">
            <v>0.82608888888888876</v>
          </cell>
          <cell r="R89">
            <v>0.8926666666666665</v>
          </cell>
          <cell r="S89">
            <v>0.95924444444444423</v>
          </cell>
          <cell r="T89">
            <v>1.025822222222222</v>
          </cell>
          <cell r="U89">
            <v>1.0923999999999998</v>
          </cell>
          <cell r="V89">
            <v>1.1589777777777777</v>
          </cell>
          <cell r="W89">
            <v>1.2255555555555555</v>
          </cell>
          <cell r="X89">
            <v>1.2921333333333334</v>
          </cell>
          <cell r="Y89">
            <v>1.3587111111111112</v>
          </cell>
          <cell r="Z89">
            <v>1.425288888888889</v>
          </cell>
          <cell r="AA89">
            <v>1.4918666666666669</v>
          </cell>
          <cell r="AB89">
            <v>1.5584444444444447</v>
          </cell>
          <cell r="AC89">
            <v>1.6250222222222226</v>
          </cell>
          <cell r="AD89">
            <v>1.6916000000000004</v>
          </cell>
          <cell r="AE89">
            <v>1.7581777777777783</v>
          </cell>
          <cell r="AF89">
            <v>1.8247555555555561</v>
          </cell>
          <cell r="AG89">
            <v>1.891333333333334</v>
          </cell>
          <cell r="AH89">
            <v>1.9579111111111118</v>
          </cell>
          <cell r="AI89">
            <v>2.0244888888888894</v>
          </cell>
          <cell r="AJ89">
            <v>2.0910666666666673</v>
          </cell>
          <cell r="AK89">
            <v>2.1576444444444451</v>
          </cell>
          <cell r="AL89">
            <v>2.224222222222223</v>
          </cell>
          <cell r="AM89">
            <v>2.2908000000000008</v>
          </cell>
          <cell r="AN89">
            <v>2.3573777777777787</v>
          </cell>
          <cell r="AO89">
            <v>2.4239555555555565</v>
          </cell>
          <cell r="AP89">
            <v>2.4905333333333344</v>
          </cell>
          <cell r="AQ89">
            <v>2.5571111111111122</v>
          </cell>
          <cell r="AR89">
            <v>2.6236888888888901</v>
          </cell>
          <cell r="AS89">
            <v>2.6902666666666679</v>
          </cell>
          <cell r="AT89">
            <v>2.7568444444444458</v>
          </cell>
          <cell r="AU89">
            <v>2.8234222222222236</v>
          </cell>
          <cell r="AV89">
            <v>2.89</v>
          </cell>
          <cell r="AW89">
            <v>2.7733333333333334</v>
          </cell>
          <cell r="AX89">
            <v>2.6566666666666667</v>
          </cell>
          <cell r="AY89">
            <v>2.54</v>
          </cell>
          <cell r="AZ89">
            <v>2.4233333333333333</v>
          </cell>
          <cell r="BA89">
            <v>2.3066666666666666</v>
          </cell>
          <cell r="BB89">
            <v>2.19</v>
          </cell>
          <cell r="BC89">
            <v>2.0733333333333333</v>
          </cell>
          <cell r="BD89">
            <v>1.9566666666666666</v>
          </cell>
          <cell r="BE89">
            <v>1.8399999999999999</v>
          </cell>
          <cell r="BF89">
            <v>1.7233333333333332</v>
          </cell>
          <cell r="BG89">
            <v>1.6066666666666665</v>
          </cell>
          <cell r="BH89">
            <v>1.4899999999999998</v>
          </cell>
          <cell r="BI89">
            <v>1.3733333333333331</v>
          </cell>
          <cell r="BJ89">
            <v>1.2566666666666664</v>
          </cell>
          <cell r="BK89">
            <v>1.1399999999999997</v>
          </cell>
          <cell r="BL89">
            <v>1.023333333333333</v>
          </cell>
          <cell r="BM89">
            <v>0.90666666666666629</v>
          </cell>
          <cell r="BN89">
            <v>0.78999999999999959</v>
          </cell>
          <cell r="BO89">
            <v>0.6733333333333329</v>
          </cell>
          <cell r="BP89">
            <v>0.5566666666666662</v>
          </cell>
          <cell r="BQ89">
            <v>0.4399999999999995</v>
          </cell>
          <cell r="BR89">
            <v>0.32333333333333281</v>
          </cell>
          <cell r="BS89">
            <v>0.20666666666666614</v>
          </cell>
          <cell r="BT89">
            <v>8.9999999999999469E-2</v>
          </cell>
          <cell r="BU89">
            <v>-2.6666666666667199E-2</v>
          </cell>
          <cell r="BV89">
            <v>-0.14333333333333387</v>
          </cell>
          <cell r="BW89">
            <v>-0.26000000000000056</v>
          </cell>
          <cell r="BX89">
            <v>-0.37666666666666726</v>
          </cell>
          <cell r="BY89">
            <v>-0.49333333333333396</v>
          </cell>
          <cell r="BZ89">
            <v>-0.61000000000000065</v>
          </cell>
          <cell r="CA89">
            <v>-0.72666666666666735</v>
          </cell>
          <cell r="CB89">
            <v>-0.84333333333333405</v>
          </cell>
          <cell r="CC89">
            <v>-0.96000000000000074</v>
          </cell>
          <cell r="CD89">
            <v>-1.0766666666666673</v>
          </cell>
          <cell r="CE89">
            <v>-1.193333333333334</v>
          </cell>
          <cell r="CF89">
            <v>-1.3100000000000007</v>
          </cell>
          <cell r="CG89">
            <v>-1.4266666666666674</v>
          </cell>
          <cell r="CH89">
            <v>-1.5433333333333341</v>
          </cell>
          <cell r="CI89">
            <v>-1.6600000000000008</v>
          </cell>
          <cell r="CJ89">
            <v>-1.7766666666666675</v>
          </cell>
          <cell r="CK89">
            <v>-1.8933333333333342</v>
          </cell>
          <cell r="CL89">
            <v>-2.0100000000000007</v>
          </cell>
          <cell r="CM89">
            <v>-2.1266666666666674</v>
          </cell>
          <cell r="CN89">
            <v>-2.2433333333333341</v>
          </cell>
          <cell r="CO89">
            <v>-2.36</v>
          </cell>
          <cell r="CP89">
            <v>-2.3893333333333331</v>
          </cell>
          <cell r="CQ89">
            <v>-2.4186666666666663</v>
          </cell>
          <cell r="CR89">
            <v>-2.4479999999999995</v>
          </cell>
          <cell r="CS89">
            <v>-2.4773333333333327</v>
          </cell>
          <cell r="CT89">
            <v>-2.5066666666666659</v>
          </cell>
          <cell r="CU89">
            <v>-2.5359999999999991</v>
          </cell>
          <cell r="CV89">
            <v>-2.5653333333333324</v>
          </cell>
          <cell r="CW89">
            <v>-2.5946666666666656</v>
          </cell>
          <cell r="CX89">
            <v>-2.6239999999999988</v>
          </cell>
          <cell r="CY89">
            <v>-2.653333333333332</v>
          </cell>
          <cell r="CZ89">
            <v>-2.6826666666666652</v>
          </cell>
          <cell r="DA89">
            <v>-2.7119999999999984</v>
          </cell>
          <cell r="DB89">
            <v>-2.7413333333333316</v>
          </cell>
          <cell r="DC89">
            <v>-2.7706666666666648</v>
          </cell>
          <cell r="DD89">
            <v>-2.799999999999998</v>
          </cell>
          <cell r="DE89">
            <v>-2.8293333333333313</v>
          </cell>
          <cell r="DF89">
            <v>-2.8586666666666645</v>
          </cell>
          <cell r="DG89">
            <v>-2.8879999999999977</v>
          </cell>
          <cell r="DH89">
            <v>-2.9173333333333309</v>
          </cell>
          <cell r="DI89">
            <v>-2.9466666666666641</v>
          </cell>
          <cell r="DJ89">
            <v>-2.9759999999999973</v>
          </cell>
          <cell r="DK89">
            <v>-3.0053333333333305</v>
          </cell>
          <cell r="DL89">
            <v>-3.0346666666666637</v>
          </cell>
          <cell r="DM89">
            <v>-3.0639999999999969</v>
          </cell>
          <cell r="DN89">
            <v>-3.0933333333333302</v>
          </cell>
          <cell r="DO89">
            <v>-3.1226666666666634</v>
          </cell>
          <cell r="DP89">
            <v>-3.1519999999999966</v>
          </cell>
          <cell r="DQ89">
            <v>-3.1813333333333298</v>
          </cell>
          <cell r="DR89">
            <v>-3.210666666666663</v>
          </cell>
          <cell r="DS89">
            <v>-3.2399999999999962</v>
          </cell>
          <cell r="DT89">
            <v>-3.2693333333333294</v>
          </cell>
          <cell r="DU89">
            <v>-3.2986666666666626</v>
          </cell>
          <cell r="DV89">
            <v>-3.3279999999999959</v>
          </cell>
          <cell r="DW89">
            <v>-3.3573333333333291</v>
          </cell>
          <cell r="DX89">
            <v>-3.3866666666666623</v>
          </cell>
          <cell r="DY89">
            <v>-3.4159999999999955</v>
          </cell>
          <cell r="DZ89">
            <v>-3.4453333333333287</v>
          </cell>
          <cell r="EA89">
            <v>-3.4746666666666619</v>
          </cell>
          <cell r="EB89">
            <v>-3.5039999999999951</v>
          </cell>
          <cell r="EC89">
            <v>-3.5333333333333283</v>
          </cell>
          <cell r="ED89">
            <v>-3.5626666666666615</v>
          </cell>
          <cell r="EE89">
            <v>-3.5919999999999948</v>
          </cell>
          <cell r="EF89">
            <v>-3.621333333333328</v>
          </cell>
          <cell r="EG89">
            <v>-3.6506666666666612</v>
          </cell>
          <cell r="EH89">
            <v>-3.68</v>
          </cell>
          <cell r="EI89">
            <v>-4.4537777777777778</v>
          </cell>
          <cell r="EJ89">
            <v>-5.227555555555556</v>
          </cell>
          <cell r="EK89">
            <v>-6.0013333333333341</v>
          </cell>
          <cell r="EL89">
            <v>-6.7751111111111122</v>
          </cell>
          <cell r="EM89">
            <v>-7.5488888888888903</v>
          </cell>
          <cell r="EN89">
            <v>-8.3226666666666684</v>
          </cell>
          <cell r="EO89">
            <v>-9.0964444444444457</v>
          </cell>
          <cell r="EP89">
            <v>-9.8702222222222229</v>
          </cell>
          <cell r="EQ89">
            <v>-10.644</v>
          </cell>
          <cell r="ER89">
            <v>-11.417777777777777</v>
          </cell>
          <cell r="ES89">
            <v>-12.191555555555555</v>
          </cell>
          <cell r="ET89">
            <v>-12.965333333333332</v>
          </cell>
          <cell r="EU89">
            <v>-13.739111111111109</v>
          </cell>
          <cell r="EV89">
            <v>-14.512888888888886</v>
          </cell>
          <cell r="EW89">
            <v>-15.286666666666664</v>
          </cell>
          <cell r="EX89">
            <v>-16.060444444444443</v>
          </cell>
          <cell r="EY89">
            <v>-16.83422222222222</v>
          </cell>
          <cell r="EZ89">
            <v>-17.607999999999997</v>
          </cell>
          <cell r="FA89">
            <v>-18.381777777777774</v>
          </cell>
          <cell r="FB89">
            <v>-19.155555555555551</v>
          </cell>
          <cell r="FC89">
            <v>-19.929333333333329</v>
          </cell>
          <cell r="FD89">
            <v>-20.703111111111106</v>
          </cell>
          <cell r="FE89">
            <v>-21.476888888888883</v>
          </cell>
          <cell r="FF89">
            <v>-22.25066666666666</v>
          </cell>
          <cell r="FG89">
            <v>-23.024444444444438</v>
          </cell>
          <cell r="FH89">
            <v>-23.798222222222215</v>
          </cell>
          <cell r="FI89">
            <v>-24.571999999999992</v>
          </cell>
          <cell r="FJ89">
            <v>-25.345777777777769</v>
          </cell>
          <cell r="FK89">
            <v>-26.119555555555547</v>
          </cell>
          <cell r="FL89">
            <v>-26.893333333333324</v>
          </cell>
          <cell r="FM89">
            <v>-27.667111111111101</v>
          </cell>
          <cell r="FN89">
            <v>-28.440888888888878</v>
          </cell>
          <cell r="FO89">
            <v>-29.214666666666655</v>
          </cell>
          <cell r="FP89">
            <v>-29.988444444444433</v>
          </cell>
          <cell r="FQ89">
            <v>-30.76222222222221</v>
          </cell>
          <cell r="FR89">
            <v>-31.535999999999987</v>
          </cell>
          <cell r="FS89">
            <v>-32.309777777777768</v>
          </cell>
          <cell r="FT89">
            <v>-33.083555555555549</v>
          </cell>
          <cell r="FU89">
            <v>-33.85733333333333</v>
          </cell>
          <cell r="FV89">
            <v>-34.63111111111111</v>
          </cell>
          <cell r="FW89">
            <v>-35.404888888888891</v>
          </cell>
          <cell r="FX89">
            <v>-36.178666666666672</v>
          </cell>
          <cell r="FY89">
            <v>-36.952444444444453</v>
          </cell>
          <cell r="FZ89">
            <v>-37.726222222222233</v>
          </cell>
          <cell r="GA89">
            <v>-38.5</v>
          </cell>
        </row>
        <row r="90">
          <cell r="B90" t="str">
            <v>k3</v>
          </cell>
          <cell r="C90">
            <v>2.93</v>
          </cell>
          <cell r="D90">
            <v>2.8908888888888891</v>
          </cell>
          <cell r="E90">
            <v>2.851777777777778</v>
          </cell>
          <cell r="F90">
            <v>2.8126666666666669</v>
          </cell>
          <cell r="G90">
            <v>2.7735555555555558</v>
          </cell>
          <cell r="H90">
            <v>2.7344444444444447</v>
          </cell>
          <cell r="I90">
            <v>2.6953333333333336</v>
          </cell>
          <cell r="J90">
            <v>2.6562222222222225</v>
          </cell>
          <cell r="K90">
            <v>2.6171111111111114</v>
          </cell>
          <cell r="L90">
            <v>2.5780000000000003</v>
          </cell>
          <cell r="M90">
            <v>2.5388888888888892</v>
          </cell>
          <cell r="N90">
            <v>2.4997777777777781</v>
          </cell>
          <cell r="O90">
            <v>2.460666666666667</v>
          </cell>
          <cell r="P90">
            <v>2.4215555555555559</v>
          </cell>
          <cell r="Q90">
            <v>2.3824444444444448</v>
          </cell>
          <cell r="R90">
            <v>2.3433333333333337</v>
          </cell>
          <cell r="S90">
            <v>2.3042222222222226</v>
          </cell>
          <cell r="T90">
            <v>2.2651111111111115</v>
          </cell>
          <cell r="U90">
            <v>2.2260000000000004</v>
          </cell>
          <cell r="V90">
            <v>2.1868888888888893</v>
          </cell>
          <cell r="W90">
            <v>2.1477777777777782</v>
          </cell>
          <cell r="X90">
            <v>2.1086666666666671</v>
          </cell>
          <cell r="Y90">
            <v>2.069555555555556</v>
          </cell>
          <cell r="Z90">
            <v>2.0304444444444449</v>
          </cell>
          <cell r="AA90">
            <v>1.9913333333333338</v>
          </cell>
          <cell r="AB90">
            <v>1.9522222222222227</v>
          </cell>
          <cell r="AC90">
            <v>1.9131111111111117</v>
          </cell>
          <cell r="AD90">
            <v>1.8740000000000006</v>
          </cell>
          <cell r="AE90">
            <v>1.8348888888888895</v>
          </cell>
          <cell r="AF90">
            <v>1.7957777777777784</v>
          </cell>
          <cell r="AG90">
            <v>1.7566666666666673</v>
          </cell>
          <cell r="AH90">
            <v>1.7175555555555562</v>
          </cell>
          <cell r="AI90">
            <v>1.6784444444444451</v>
          </cell>
          <cell r="AJ90">
            <v>1.639333333333334</v>
          </cell>
          <cell r="AK90">
            <v>1.6002222222222229</v>
          </cell>
          <cell r="AL90">
            <v>1.5611111111111118</v>
          </cell>
          <cell r="AM90">
            <v>1.5220000000000007</v>
          </cell>
          <cell r="AN90">
            <v>1.4828888888888896</v>
          </cell>
          <cell r="AO90">
            <v>1.4437777777777785</v>
          </cell>
          <cell r="AP90">
            <v>1.4046666666666674</v>
          </cell>
          <cell r="AQ90">
            <v>1.3655555555555563</v>
          </cell>
          <cell r="AR90">
            <v>1.3264444444444452</v>
          </cell>
          <cell r="AS90">
            <v>1.2873333333333341</v>
          </cell>
          <cell r="AT90">
            <v>1.248222222222223</v>
          </cell>
          <cell r="AU90">
            <v>1.2091111111111119</v>
          </cell>
          <cell r="AV90">
            <v>1.17</v>
          </cell>
          <cell r="AW90">
            <v>1.1677777777777778</v>
          </cell>
          <cell r="AX90">
            <v>1.1655555555555557</v>
          </cell>
          <cell r="AY90">
            <v>1.1633333333333336</v>
          </cell>
          <cell r="AZ90">
            <v>1.1611111111111114</v>
          </cell>
          <cell r="BA90">
            <v>1.1588888888888893</v>
          </cell>
          <cell r="BB90">
            <v>1.1566666666666672</v>
          </cell>
          <cell r="BC90">
            <v>1.1544444444444451</v>
          </cell>
          <cell r="BD90">
            <v>1.1522222222222229</v>
          </cell>
          <cell r="BE90">
            <v>1.1500000000000008</v>
          </cell>
          <cell r="BF90">
            <v>1.1477777777777787</v>
          </cell>
          <cell r="BG90">
            <v>1.1455555555555565</v>
          </cell>
          <cell r="BH90">
            <v>1.1433333333333344</v>
          </cell>
          <cell r="BI90">
            <v>1.1411111111111123</v>
          </cell>
          <cell r="BJ90">
            <v>1.1388888888888902</v>
          </cell>
          <cell r="BK90">
            <v>1.136666666666668</v>
          </cell>
          <cell r="BL90">
            <v>1.1344444444444459</v>
          </cell>
          <cell r="BM90">
            <v>1.1322222222222238</v>
          </cell>
          <cell r="BN90">
            <v>1.1300000000000017</v>
          </cell>
          <cell r="BO90">
            <v>1.1277777777777795</v>
          </cell>
          <cell r="BP90">
            <v>1.1255555555555574</v>
          </cell>
          <cell r="BQ90">
            <v>1.1233333333333353</v>
          </cell>
          <cell r="BR90">
            <v>1.1211111111111132</v>
          </cell>
          <cell r="BS90">
            <v>1.118888888888891</v>
          </cell>
          <cell r="BT90">
            <v>1.1166666666666689</v>
          </cell>
          <cell r="BU90">
            <v>1.1144444444444468</v>
          </cell>
          <cell r="BV90">
            <v>1.1122222222222247</v>
          </cell>
          <cell r="BW90">
            <v>1.1100000000000025</v>
          </cell>
          <cell r="BX90">
            <v>1.1077777777777804</v>
          </cell>
          <cell r="BY90">
            <v>1.1055555555555583</v>
          </cell>
          <cell r="BZ90">
            <v>1.1033333333333362</v>
          </cell>
          <cell r="CA90">
            <v>1.101111111111114</v>
          </cell>
          <cell r="CB90">
            <v>1.0988888888888919</v>
          </cell>
          <cell r="CC90">
            <v>1.0966666666666698</v>
          </cell>
          <cell r="CD90">
            <v>1.0944444444444477</v>
          </cell>
          <cell r="CE90">
            <v>1.0922222222222255</v>
          </cell>
          <cell r="CF90">
            <v>1.0900000000000034</v>
          </cell>
          <cell r="CG90">
            <v>1.0877777777777813</v>
          </cell>
          <cell r="CH90">
            <v>1.0855555555555592</v>
          </cell>
          <cell r="CI90">
            <v>1.083333333333337</v>
          </cell>
          <cell r="CJ90">
            <v>1.0811111111111149</v>
          </cell>
          <cell r="CK90">
            <v>1.0788888888888928</v>
          </cell>
          <cell r="CL90">
            <v>1.0766666666666707</v>
          </cell>
          <cell r="CM90">
            <v>1.0744444444444485</v>
          </cell>
          <cell r="CN90">
            <v>1.0722222222222264</v>
          </cell>
          <cell r="CO90">
            <v>1.07</v>
          </cell>
          <cell r="CP90">
            <v>1.112888888888889</v>
          </cell>
          <cell r="CQ90">
            <v>1.155777777777778</v>
          </cell>
          <cell r="CR90">
            <v>1.198666666666667</v>
          </cell>
          <cell r="CS90">
            <v>1.241555555555556</v>
          </cell>
          <cell r="CT90">
            <v>1.2844444444444449</v>
          </cell>
          <cell r="CU90">
            <v>1.3273333333333339</v>
          </cell>
          <cell r="CV90">
            <v>1.3702222222222229</v>
          </cell>
          <cell r="CW90">
            <v>1.4131111111111119</v>
          </cell>
          <cell r="CX90">
            <v>1.4560000000000008</v>
          </cell>
          <cell r="CY90">
            <v>1.4988888888888898</v>
          </cell>
          <cell r="CZ90">
            <v>1.5417777777777788</v>
          </cell>
          <cell r="DA90">
            <v>1.5846666666666678</v>
          </cell>
          <cell r="DB90">
            <v>1.6275555555555568</v>
          </cell>
          <cell r="DC90">
            <v>1.6704444444444457</v>
          </cell>
          <cell r="DD90">
            <v>1.7133333333333347</v>
          </cell>
          <cell r="DE90">
            <v>1.7562222222222237</v>
          </cell>
          <cell r="DF90">
            <v>1.7991111111111127</v>
          </cell>
          <cell r="DG90">
            <v>1.8420000000000016</v>
          </cell>
          <cell r="DH90">
            <v>1.8848888888888906</v>
          </cell>
          <cell r="DI90">
            <v>1.9277777777777796</v>
          </cell>
          <cell r="DJ90">
            <v>1.9706666666666686</v>
          </cell>
          <cell r="DK90">
            <v>2.0135555555555573</v>
          </cell>
          <cell r="DL90">
            <v>2.0564444444444461</v>
          </cell>
          <cell r="DM90">
            <v>2.0993333333333348</v>
          </cell>
          <cell r="DN90">
            <v>2.1422222222222236</v>
          </cell>
          <cell r="DO90">
            <v>2.1851111111111123</v>
          </cell>
          <cell r="DP90">
            <v>2.2280000000000011</v>
          </cell>
          <cell r="DQ90">
            <v>2.2708888888888898</v>
          </cell>
          <cell r="DR90">
            <v>2.3137777777777786</v>
          </cell>
          <cell r="DS90">
            <v>2.3566666666666674</v>
          </cell>
          <cell r="DT90">
            <v>2.3995555555555561</v>
          </cell>
          <cell r="DU90">
            <v>2.4424444444444449</v>
          </cell>
          <cell r="DV90">
            <v>2.4853333333333336</v>
          </cell>
          <cell r="DW90">
            <v>2.5282222222222224</v>
          </cell>
          <cell r="DX90">
            <v>2.5711111111111111</v>
          </cell>
          <cell r="DY90">
            <v>2.6139999999999999</v>
          </cell>
          <cell r="DZ90">
            <v>2.6568888888888886</v>
          </cell>
          <cell r="EA90">
            <v>2.6997777777777774</v>
          </cell>
          <cell r="EB90">
            <v>2.7426666666666661</v>
          </cell>
          <cell r="EC90">
            <v>2.7855555555555549</v>
          </cell>
          <cell r="ED90">
            <v>2.8284444444444437</v>
          </cell>
          <cell r="EE90">
            <v>2.8713333333333324</v>
          </cell>
          <cell r="EF90">
            <v>2.9142222222222212</v>
          </cell>
          <cell r="EG90">
            <v>2.9571111111111099</v>
          </cell>
          <cell r="EH90">
            <v>3</v>
          </cell>
          <cell r="EI90">
            <v>3.2622222222222224</v>
          </cell>
          <cell r="EJ90">
            <v>3.5244444444444447</v>
          </cell>
          <cell r="EK90">
            <v>3.7866666666666671</v>
          </cell>
          <cell r="EL90">
            <v>4.0488888888888894</v>
          </cell>
          <cell r="EM90">
            <v>4.3111111111111118</v>
          </cell>
          <cell r="EN90">
            <v>4.5733333333333341</v>
          </cell>
          <cell r="EO90">
            <v>4.8355555555555565</v>
          </cell>
          <cell r="EP90">
            <v>5.0977777777777789</v>
          </cell>
          <cell r="EQ90">
            <v>5.3600000000000012</v>
          </cell>
          <cell r="ER90">
            <v>5.6222222222222236</v>
          </cell>
          <cell r="ES90">
            <v>5.8844444444444459</v>
          </cell>
          <cell r="ET90">
            <v>6.1466666666666683</v>
          </cell>
          <cell r="EU90">
            <v>6.4088888888888906</v>
          </cell>
          <cell r="EV90">
            <v>6.671111111111113</v>
          </cell>
          <cell r="EW90">
            <v>6.9333333333333353</v>
          </cell>
          <cell r="EX90">
            <v>7.1955555555555577</v>
          </cell>
          <cell r="EY90">
            <v>7.4577777777777801</v>
          </cell>
          <cell r="EZ90">
            <v>7.7200000000000024</v>
          </cell>
          <cell r="FA90">
            <v>7.9822222222222248</v>
          </cell>
          <cell r="FB90">
            <v>8.2444444444444471</v>
          </cell>
          <cell r="FC90">
            <v>8.5066666666666695</v>
          </cell>
          <cell r="FD90">
            <v>8.7688888888888918</v>
          </cell>
          <cell r="FE90">
            <v>9.0311111111111142</v>
          </cell>
          <cell r="FF90">
            <v>9.2933333333333366</v>
          </cell>
          <cell r="FG90">
            <v>9.5555555555555589</v>
          </cell>
          <cell r="FH90">
            <v>9.8177777777777813</v>
          </cell>
          <cell r="FI90">
            <v>10.080000000000004</v>
          </cell>
          <cell r="FJ90">
            <v>10.342222222222226</v>
          </cell>
          <cell r="FK90">
            <v>10.604444444444448</v>
          </cell>
          <cell r="FL90">
            <v>10.866666666666671</v>
          </cell>
          <cell r="FM90">
            <v>11.128888888888893</v>
          </cell>
          <cell r="FN90">
            <v>11.391111111111115</v>
          </cell>
          <cell r="FO90">
            <v>11.653333333333338</v>
          </cell>
          <cell r="FP90">
            <v>11.91555555555556</v>
          </cell>
          <cell r="FQ90">
            <v>12.177777777777782</v>
          </cell>
          <cell r="FR90">
            <v>12.440000000000005</v>
          </cell>
          <cell r="FS90">
            <v>12.702222222222227</v>
          </cell>
          <cell r="FT90">
            <v>12.96444444444445</v>
          </cell>
          <cell r="FU90">
            <v>13.226666666666672</v>
          </cell>
          <cell r="FV90">
            <v>13.488888888888894</v>
          </cell>
          <cell r="FW90">
            <v>13.751111111111117</v>
          </cell>
          <cell r="FX90">
            <v>14.013333333333339</v>
          </cell>
          <cell r="FY90">
            <v>14.275555555555561</v>
          </cell>
          <cell r="FZ90">
            <v>14.537777777777784</v>
          </cell>
          <cell r="GA90">
            <v>14.8</v>
          </cell>
        </row>
        <row r="91">
          <cell r="B91" t="str">
            <v>k4</v>
          </cell>
          <cell r="C91">
            <v>3.63</v>
          </cell>
          <cell r="D91">
            <v>3.6753333333333331</v>
          </cell>
          <cell r="E91">
            <v>3.7206666666666663</v>
          </cell>
          <cell r="F91">
            <v>3.7659999999999996</v>
          </cell>
          <cell r="G91">
            <v>3.8113333333333328</v>
          </cell>
          <cell r="H91">
            <v>3.856666666666666</v>
          </cell>
          <cell r="I91">
            <v>3.9019999999999992</v>
          </cell>
          <cell r="J91">
            <v>3.9473333333333325</v>
          </cell>
          <cell r="K91">
            <v>3.9926666666666657</v>
          </cell>
          <cell r="L91">
            <v>4.0379999999999994</v>
          </cell>
          <cell r="M91">
            <v>4.083333333333333</v>
          </cell>
          <cell r="N91">
            <v>4.1286666666666667</v>
          </cell>
          <cell r="O91">
            <v>4.1740000000000004</v>
          </cell>
          <cell r="P91">
            <v>4.219333333333334</v>
          </cell>
          <cell r="Q91">
            <v>4.2646666666666677</v>
          </cell>
          <cell r="R91">
            <v>4.3100000000000014</v>
          </cell>
          <cell r="S91">
            <v>4.3553333333333351</v>
          </cell>
          <cell r="T91">
            <v>4.4006666666666687</v>
          </cell>
          <cell r="U91">
            <v>4.4460000000000024</v>
          </cell>
          <cell r="V91">
            <v>4.4913333333333361</v>
          </cell>
          <cell r="W91">
            <v>4.5366666666666697</v>
          </cell>
          <cell r="X91">
            <v>4.5820000000000034</v>
          </cell>
          <cell r="Y91">
            <v>4.6273333333333371</v>
          </cell>
          <cell r="Z91">
            <v>4.6726666666666707</v>
          </cell>
          <cell r="AA91">
            <v>4.7180000000000044</v>
          </cell>
          <cell r="AB91">
            <v>4.7633333333333381</v>
          </cell>
          <cell r="AC91">
            <v>4.8086666666666718</v>
          </cell>
          <cell r="AD91">
            <v>4.8540000000000054</v>
          </cell>
          <cell r="AE91">
            <v>4.8993333333333391</v>
          </cell>
          <cell r="AF91">
            <v>4.9446666666666728</v>
          </cell>
          <cell r="AG91">
            <v>4.9900000000000064</v>
          </cell>
          <cell r="AH91">
            <v>5.0353333333333401</v>
          </cell>
          <cell r="AI91">
            <v>5.0806666666666738</v>
          </cell>
          <cell r="AJ91">
            <v>5.1260000000000074</v>
          </cell>
          <cell r="AK91">
            <v>5.1713333333333411</v>
          </cell>
          <cell r="AL91">
            <v>5.2166666666666748</v>
          </cell>
          <cell r="AM91">
            <v>5.2620000000000084</v>
          </cell>
          <cell r="AN91">
            <v>5.3073333333333421</v>
          </cell>
          <cell r="AO91">
            <v>5.3526666666666758</v>
          </cell>
          <cell r="AP91">
            <v>5.3980000000000095</v>
          </cell>
          <cell r="AQ91">
            <v>5.4433333333333431</v>
          </cell>
          <cell r="AR91">
            <v>5.4886666666666768</v>
          </cell>
          <cell r="AS91">
            <v>5.5340000000000105</v>
          </cell>
          <cell r="AT91">
            <v>5.5793333333333441</v>
          </cell>
          <cell r="AU91">
            <v>5.6246666666666778</v>
          </cell>
          <cell r="AV91">
            <v>5.67</v>
          </cell>
          <cell r="AW91">
            <v>5.532577777777778</v>
          </cell>
          <cell r="AX91">
            <v>5.3951555555555561</v>
          </cell>
          <cell r="AY91">
            <v>5.2577333333333343</v>
          </cell>
          <cell r="AZ91">
            <v>5.1203111111111124</v>
          </cell>
          <cell r="BA91">
            <v>4.9828888888888905</v>
          </cell>
          <cell r="BB91">
            <v>4.8454666666666686</v>
          </cell>
          <cell r="BC91">
            <v>4.7080444444444467</v>
          </cell>
          <cell r="BD91">
            <v>4.5706222222222248</v>
          </cell>
          <cell r="BE91">
            <v>4.4332000000000029</v>
          </cell>
          <cell r="BF91">
            <v>4.295777777777781</v>
          </cell>
          <cell r="BG91">
            <v>4.1583555555555591</v>
          </cell>
          <cell r="BH91">
            <v>4.0209333333333372</v>
          </cell>
          <cell r="BI91">
            <v>3.8835111111111149</v>
          </cell>
          <cell r="BJ91">
            <v>3.7460888888888926</v>
          </cell>
          <cell r="BK91">
            <v>3.6086666666666702</v>
          </cell>
          <cell r="BL91">
            <v>3.4712444444444479</v>
          </cell>
          <cell r="BM91">
            <v>3.3338222222222256</v>
          </cell>
          <cell r="BN91">
            <v>3.1964000000000032</v>
          </cell>
          <cell r="BO91">
            <v>3.0589777777777809</v>
          </cell>
          <cell r="BP91">
            <v>2.9215555555555586</v>
          </cell>
          <cell r="BQ91">
            <v>2.7841333333333362</v>
          </cell>
          <cell r="BR91">
            <v>2.6467111111111139</v>
          </cell>
          <cell r="BS91">
            <v>2.5092888888888916</v>
          </cell>
          <cell r="BT91">
            <v>2.3718666666666692</v>
          </cell>
          <cell r="BU91">
            <v>2.2344444444444469</v>
          </cell>
          <cell r="BV91">
            <v>2.0970222222222246</v>
          </cell>
          <cell r="BW91">
            <v>1.9596000000000022</v>
          </cell>
          <cell r="BX91">
            <v>1.8221777777777799</v>
          </cell>
          <cell r="BY91">
            <v>1.6847555555555576</v>
          </cell>
          <cell r="BZ91">
            <v>1.5473333333333352</v>
          </cell>
          <cell r="CA91">
            <v>1.4099111111111129</v>
          </cell>
          <cell r="CB91">
            <v>1.2724888888888906</v>
          </cell>
          <cell r="CC91">
            <v>1.1350666666666682</v>
          </cell>
          <cell r="CD91">
            <v>0.997644444444446</v>
          </cell>
          <cell r="CE91">
            <v>0.86022222222222378</v>
          </cell>
          <cell r="CF91">
            <v>0.72280000000000155</v>
          </cell>
          <cell r="CG91">
            <v>0.58537777777777933</v>
          </cell>
          <cell r="CH91">
            <v>0.44795555555555711</v>
          </cell>
          <cell r="CI91">
            <v>0.31053333333333488</v>
          </cell>
          <cell r="CJ91">
            <v>0.17311111111111266</v>
          </cell>
          <cell r="CK91">
            <v>3.5688888888890435E-2</v>
          </cell>
          <cell r="CL91">
            <v>-0.10173333333333179</v>
          </cell>
          <cell r="CM91">
            <v>-0.23915555555555401</v>
          </cell>
          <cell r="CN91">
            <v>-0.37657777777777623</v>
          </cell>
          <cell r="CO91">
            <v>-0.51400000000000001</v>
          </cell>
          <cell r="CP91">
            <v>-0.36080000000000001</v>
          </cell>
          <cell r="CQ91">
            <v>-0.20760000000000001</v>
          </cell>
          <cell r="CR91">
            <v>-5.4400000000000004E-2</v>
          </cell>
          <cell r="CS91">
            <v>9.8799999999999999E-2</v>
          </cell>
          <cell r="CT91">
            <v>0.252</v>
          </cell>
          <cell r="CU91">
            <v>0.4052</v>
          </cell>
          <cell r="CV91">
            <v>0.55840000000000001</v>
          </cell>
          <cell r="CW91">
            <v>0.71160000000000001</v>
          </cell>
          <cell r="CX91">
            <v>0.86480000000000001</v>
          </cell>
          <cell r="CY91">
            <v>1.018</v>
          </cell>
          <cell r="CZ91">
            <v>1.1712</v>
          </cell>
          <cell r="DA91">
            <v>1.3244</v>
          </cell>
          <cell r="DB91">
            <v>1.4776</v>
          </cell>
          <cell r="DC91">
            <v>1.6308</v>
          </cell>
          <cell r="DD91">
            <v>1.784</v>
          </cell>
          <cell r="DE91">
            <v>1.9372</v>
          </cell>
          <cell r="DF91">
            <v>2.0903999999999998</v>
          </cell>
          <cell r="DG91">
            <v>2.2435999999999998</v>
          </cell>
          <cell r="DH91">
            <v>2.3967999999999998</v>
          </cell>
          <cell r="DI91">
            <v>2.5499999999999998</v>
          </cell>
          <cell r="DJ91">
            <v>2.7031999999999998</v>
          </cell>
          <cell r="DK91">
            <v>2.8563999999999998</v>
          </cell>
          <cell r="DL91">
            <v>3.0095999999999998</v>
          </cell>
          <cell r="DM91">
            <v>3.1627999999999998</v>
          </cell>
          <cell r="DN91">
            <v>3.3159999999999998</v>
          </cell>
          <cell r="DO91">
            <v>3.4691999999999998</v>
          </cell>
          <cell r="DP91">
            <v>3.6223999999999998</v>
          </cell>
          <cell r="DQ91">
            <v>3.7755999999999998</v>
          </cell>
          <cell r="DR91">
            <v>3.9287999999999998</v>
          </cell>
          <cell r="DS91">
            <v>4.0819999999999999</v>
          </cell>
          <cell r="DT91">
            <v>4.2351999999999999</v>
          </cell>
          <cell r="DU91">
            <v>4.3883999999999999</v>
          </cell>
          <cell r="DV91">
            <v>4.5415999999999999</v>
          </cell>
          <cell r="DW91">
            <v>4.6947999999999999</v>
          </cell>
          <cell r="DX91">
            <v>4.8479999999999999</v>
          </cell>
          <cell r="DY91">
            <v>5.0011999999999999</v>
          </cell>
          <cell r="DZ91">
            <v>5.1543999999999999</v>
          </cell>
          <cell r="EA91">
            <v>5.3075999999999999</v>
          </cell>
          <cell r="EB91">
            <v>5.4607999999999999</v>
          </cell>
          <cell r="EC91">
            <v>5.6139999999999999</v>
          </cell>
          <cell r="ED91">
            <v>5.7671999999999999</v>
          </cell>
          <cell r="EE91">
            <v>5.9203999999999999</v>
          </cell>
          <cell r="EF91">
            <v>6.0735999999999999</v>
          </cell>
          <cell r="EG91">
            <v>6.2267999999999999</v>
          </cell>
          <cell r="EH91">
            <v>6.38</v>
          </cell>
          <cell r="EI91">
            <v>5.8715555555555552</v>
          </cell>
          <cell r="EJ91">
            <v>5.3631111111111105</v>
          </cell>
          <cell r="EK91">
            <v>4.8546666666666658</v>
          </cell>
          <cell r="EL91">
            <v>4.3462222222222211</v>
          </cell>
          <cell r="EM91">
            <v>3.8377777777777764</v>
          </cell>
          <cell r="EN91">
            <v>3.3293333333333317</v>
          </cell>
          <cell r="EO91">
            <v>2.820888888888887</v>
          </cell>
          <cell r="EP91">
            <v>2.3124444444444423</v>
          </cell>
          <cell r="EQ91">
            <v>1.8039999999999978</v>
          </cell>
          <cell r="ER91">
            <v>1.2955555555555534</v>
          </cell>
          <cell r="ES91">
            <v>0.78711111111110887</v>
          </cell>
          <cell r="ET91">
            <v>0.2786666666666644</v>
          </cell>
          <cell r="EU91">
            <v>-0.22977777777778008</v>
          </cell>
          <cell r="EV91">
            <v>-0.73822222222222456</v>
          </cell>
          <cell r="EW91">
            <v>-1.246666666666669</v>
          </cell>
          <cell r="EX91">
            <v>-1.7551111111111135</v>
          </cell>
          <cell r="EY91">
            <v>-2.2635555555555582</v>
          </cell>
          <cell r="EZ91">
            <v>-2.7720000000000029</v>
          </cell>
          <cell r="FA91">
            <v>-3.2804444444444476</v>
          </cell>
          <cell r="FB91">
            <v>-3.7888888888888923</v>
          </cell>
          <cell r="FC91">
            <v>-4.297333333333337</v>
          </cell>
          <cell r="FD91">
            <v>-4.8057777777777817</v>
          </cell>
          <cell r="FE91">
            <v>-5.3142222222222264</v>
          </cell>
          <cell r="FF91">
            <v>-5.8226666666666711</v>
          </cell>
          <cell r="FG91">
            <v>-6.3311111111111158</v>
          </cell>
          <cell r="FH91">
            <v>-6.8395555555555605</v>
          </cell>
          <cell r="FI91">
            <v>-7.3480000000000052</v>
          </cell>
          <cell r="FJ91">
            <v>-7.8564444444444499</v>
          </cell>
          <cell r="FK91">
            <v>-8.3648888888888937</v>
          </cell>
          <cell r="FL91">
            <v>-8.8733333333333384</v>
          </cell>
          <cell r="FM91">
            <v>-9.3817777777777831</v>
          </cell>
          <cell r="FN91">
            <v>-9.8902222222222278</v>
          </cell>
          <cell r="FO91">
            <v>-10.398666666666672</v>
          </cell>
          <cell r="FP91">
            <v>-10.907111111111117</v>
          </cell>
          <cell r="FQ91">
            <v>-11.415555555555562</v>
          </cell>
          <cell r="FR91">
            <v>-11.924000000000007</v>
          </cell>
          <cell r="FS91">
            <v>-12.432444444444451</v>
          </cell>
          <cell r="FT91">
            <v>-12.940888888888896</v>
          </cell>
          <cell r="FU91">
            <v>-13.449333333333341</v>
          </cell>
          <cell r="FV91">
            <v>-13.957777777777785</v>
          </cell>
          <cell r="FW91">
            <v>-14.46622222222223</v>
          </cell>
          <cell r="FX91">
            <v>-14.974666666666675</v>
          </cell>
          <cell r="FY91">
            <v>-15.483111111111119</v>
          </cell>
          <cell r="FZ91">
            <v>-15.991555555555564</v>
          </cell>
          <cell r="GA91">
            <v>-16.5</v>
          </cell>
        </row>
        <row r="92">
          <cell r="B92" t="str">
            <v>k5</v>
          </cell>
          <cell r="C92">
            <v>-0.374</v>
          </cell>
          <cell r="D92">
            <v>-0.44435555555555556</v>
          </cell>
          <cell r="E92">
            <v>-0.51471111111111112</v>
          </cell>
          <cell r="F92">
            <v>-0.58506666666666662</v>
          </cell>
          <cell r="G92">
            <v>-0.65542222222222213</v>
          </cell>
          <cell r="H92">
            <v>-0.72577777777777763</v>
          </cell>
          <cell r="I92">
            <v>-0.79613333333333314</v>
          </cell>
          <cell r="J92">
            <v>-0.86648888888888864</v>
          </cell>
          <cell r="K92">
            <v>-0.93684444444444415</v>
          </cell>
          <cell r="L92">
            <v>-1.0071999999999997</v>
          </cell>
          <cell r="M92">
            <v>-1.0775555555555552</v>
          </cell>
          <cell r="N92">
            <v>-1.1479111111111107</v>
          </cell>
          <cell r="O92">
            <v>-1.2182666666666662</v>
          </cell>
          <cell r="P92">
            <v>-1.2886222222222217</v>
          </cell>
          <cell r="Q92">
            <v>-1.3589777777777772</v>
          </cell>
          <cell r="R92">
            <v>-1.4293333333333327</v>
          </cell>
          <cell r="S92">
            <v>-1.4996888888888882</v>
          </cell>
          <cell r="T92">
            <v>-1.5700444444444437</v>
          </cell>
          <cell r="U92">
            <v>-1.6403999999999992</v>
          </cell>
          <cell r="V92">
            <v>-1.7107555555555547</v>
          </cell>
          <cell r="W92">
            <v>-1.7811111111111102</v>
          </cell>
          <cell r="X92">
            <v>-1.8514666666666657</v>
          </cell>
          <cell r="Y92">
            <v>-1.9218222222222212</v>
          </cell>
          <cell r="Z92">
            <v>-1.9921777777777767</v>
          </cell>
          <cell r="AA92">
            <v>-2.0625333333333322</v>
          </cell>
          <cell r="AB92">
            <v>-2.1328888888888877</v>
          </cell>
          <cell r="AC92">
            <v>-2.2032444444444432</v>
          </cell>
          <cell r="AD92">
            <v>-2.2735999999999987</v>
          </cell>
          <cell r="AE92">
            <v>-2.3439555555555542</v>
          </cell>
          <cell r="AF92">
            <v>-2.4143111111111097</v>
          </cell>
          <cell r="AG92">
            <v>-2.4846666666666652</v>
          </cell>
          <cell r="AH92">
            <v>-2.5550222222222208</v>
          </cell>
          <cell r="AI92">
            <v>-2.6253777777777763</v>
          </cell>
          <cell r="AJ92">
            <v>-2.6957333333333318</v>
          </cell>
          <cell r="AK92">
            <v>-2.7660888888888873</v>
          </cell>
          <cell r="AL92">
            <v>-2.8364444444444428</v>
          </cell>
          <cell r="AM92">
            <v>-2.9067999999999983</v>
          </cell>
          <cell r="AN92">
            <v>-2.9771555555555538</v>
          </cell>
          <cell r="AO92">
            <v>-3.0475111111111093</v>
          </cell>
          <cell r="AP92">
            <v>-3.1178666666666648</v>
          </cell>
          <cell r="AQ92">
            <v>-3.1882222222222203</v>
          </cell>
          <cell r="AR92">
            <v>-3.2585777777777758</v>
          </cell>
          <cell r="AS92">
            <v>-3.3289333333333313</v>
          </cell>
          <cell r="AT92">
            <v>-3.3992888888888868</v>
          </cell>
          <cell r="AU92">
            <v>-3.4696444444444423</v>
          </cell>
          <cell r="AV92">
            <v>-3.54</v>
          </cell>
          <cell r="AW92">
            <v>-3.4193333333333333</v>
          </cell>
          <cell r="AX92">
            <v>-3.2986666666666666</v>
          </cell>
          <cell r="AY92">
            <v>-3.1779999999999999</v>
          </cell>
          <cell r="AZ92">
            <v>-3.0573333333333332</v>
          </cell>
          <cell r="BA92">
            <v>-2.9366666666666665</v>
          </cell>
          <cell r="BB92">
            <v>-2.8159999999999998</v>
          </cell>
          <cell r="BC92">
            <v>-2.6953333333333331</v>
          </cell>
          <cell r="BD92">
            <v>-2.5746666666666664</v>
          </cell>
          <cell r="BE92">
            <v>-2.4539999999999997</v>
          </cell>
          <cell r="BF92">
            <v>-2.333333333333333</v>
          </cell>
          <cell r="BG92">
            <v>-2.2126666666666663</v>
          </cell>
          <cell r="BH92">
            <v>-2.0919999999999996</v>
          </cell>
          <cell r="BI92">
            <v>-1.9713333333333329</v>
          </cell>
          <cell r="BJ92">
            <v>-1.8506666666666662</v>
          </cell>
          <cell r="BK92">
            <v>-1.7299999999999995</v>
          </cell>
          <cell r="BL92">
            <v>-1.6093333333333328</v>
          </cell>
          <cell r="BM92">
            <v>-1.4886666666666661</v>
          </cell>
          <cell r="BN92">
            <v>-1.3679999999999994</v>
          </cell>
          <cell r="BO92">
            <v>-1.2473333333333327</v>
          </cell>
          <cell r="BP92">
            <v>-1.126666666666666</v>
          </cell>
          <cell r="BQ92">
            <v>-1.0059999999999993</v>
          </cell>
          <cell r="BR92">
            <v>-0.88533333333333264</v>
          </cell>
          <cell r="BS92">
            <v>-0.76466666666666594</v>
          </cell>
          <cell r="BT92">
            <v>-0.64399999999999924</v>
          </cell>
          <cell r="BU92">
            <v>-0.52333333333333254</v>
          </cell>
          <cell r="BV92">
            <v>-0.4026666666666659</v>
          </cell>
          <cell r="BW92">
            <v>-0.28199999999999925</v>
          </cell>
          <cell r="BX92">
            <v>-0.16133333333333261</v>
          </cell>
          <cell r="BY92">
            <v>-4.0666666666665949E-2</v>
          </cell>
          <cell r="BZ92">
            <v>8.0000000000000709E-2</v>
          </cell>
          <cell r="CA92">
            <v>0.20066666666666738</v>
          </cell>
          <cell r="CB92">
            <v>0.32133333333333403</v>
          </cell>
          <cell r="CC92">
            <v>0.44200000000000067</v>
          </cell>
          <cell r="CD92">
            <v>0.56266666666666731</v>
          </cell>
          <cell r="CE92">
            <v>0.68333333333333401</v>
          </cell>
          <cell r="CF92">
            <v>0.80400000000000071</v>
          </cell>
          <cell r="CG92">
            <v>0.92466666666666741</v>
          </cell>
          <cell r="CH92">
            <v>1.0453333333333341</v>
          </cell>
          <cell r="CI92">
            <v>1.1660000000000008</v>
          </cell>
          <cell r="CJ92">
            <v>1.2866666666666675</v>
          </cell>
          <cell r="CK92">
            <v>1.4073333333333342</v>
          </cell>
          <cell r="CL92">
            <v>1.5280000000000009</v>
          </cell>
          <cell r="CM92">
            <v>1.6486666666666676</v>
          </cell>
          <cell r="CN92">
            <v>1.7693333333333343</v>
          </cell>
          <cell r="CO92">
            <v>1.89</v>
          </cell>
          <cell r="CP92">
            <v>1.7473333333333332</v>
          </cell>
          <cell r="CQ92">
            <v>1.6046666666666665</v>
          </cell>
          <cell r="CR92">
            <v>1.4619999999999997</v>
          </cell>
          <cell r="CS92">
            <v>1.319333333333333</v>
          </cell>
          <cell r="CT92">
            <v>1.1766666666666663</v>
          </cell>
          <cell r="CU92">
            <v>1.0339999999999996</v>
          </cell>
          <cell r="CV92">
            <v>0.89133333333333287</v>
          </cell>
          <cell r="CW92">
            <v>0.74866666666666615</v>
          </cell>
          <cell r="CX92">
            <v>0.60599999999999943</v>
          </cell>
          <cell r="CY92">
            <v>0.46333333333333276</v>
          </cell>
          <cell r="CZ92">
            <v>0.3206666666666661</v>
          </cell>
          <cell r="DA92">
            <v>0.17799999999999944</v>
          </cell>
          <cell r="DB92">
            <v>3.5333333333332773E-2</v>
          </cell>
          <cell r="DC92">
            <v>-0.10733333333333389</v>
          </cell>
          <cell r="DD92">
            <v>-0.25000000000000056</v>
          </cell>
          <cell r="DE92">
            <v>-0.39266666666666722</v>
          </cell>
          <cell r="DF92">
            <v>-0.53533333333333388</v>
          </cell>
          <cell r="DG92">
            <v>-0.6780000000000006</v>
          </cell>
          <cell r="DH92">
            <v>-0.82066666666666732</v>
          </cell>
          <cell r="DI92">
            <v>-0.96333333333333404</v>
          </cell>
          <cell r="DJ92">
            <v>-1.1060000000000008</v>
          </cell>
          <cell r="DK92">
            <v>-1.2486666666666675</v>
          </cell>
          <cell r="DL92">
            <v>-1.3913333333333342</v>
          </cell>
          <cell r="DM92">
            <v>-1.5340000000000009</v>
          </cell>
          <cell r="DN92">
            <v>-1.6766666666666676</v>
          </cell>
          <cell r="DO92">
            <v>-1.8193333333333344</v>
          </cell>
          <cell r="DP92">
            <v>-1.9620000000000011</v>
          </cell>
          <cell r="DQ92">
            <v>-2.1046666666666676</v>
          </cell>
          <cell r="DR92">
            <v>-2.2473333333333341</v>
          </cell>
          <cell r="DS92">
            <v>-2.3900000000000006</v>
          </cell>
          <cell r="DT92">
            <v>-2.5326666666666671</v>
          </cell>
          <cell r="DU92">
            <v>-2.6753333333333336</v>
          </cell>
          <cell r="DV92">
            <v>-2.8180000000000001</v>
          </cell>
          <cell r="DW92">
            <v>-2.9606666666666666</v>
          </cell>
          <cell r="DX92">
            <v>-3.1033333333333331</v>
          </cell>
          <cell r="DY92">
            <v>-3.2459999999999996</v>
          </cell>
          <cell r="DZ92">
            <v>-3.388666666666666</v>
          </cell>
          <cell r="EA92">
            <v>-3.5313333333333325</v>
          </cell>
          <cell r="EB92">
            <v>-3.673999999999999</v>
          </cell>
          <cell r="EC92">
            <v>-3.8166666666666655</v>
          </cell>
          <cell r="ED92">
            <v>-3.959333333333332</v>
          </cell>
          <cell r="EE92">
            <v>-4.1019999999999985</v>
          </cell>
          <cell r="EF92">
            <v>-4.2446666666666655</v>
          </cell>
          <cell r="EG92">
            <v>-4.3873333333333324</v>
          </cell>
          <cell r="EH92">
            <v>-4.53</v>
          </cell>
          <cell r="EI92">
            <v>-3.8226666666666667</v>
          </cell>
          <cell r="EJ92">
            <v>-3.1153333333333331</v>
          </cell>
          <cell r="EK92">
            <v>-2.4079999999999995</v>
          </cell>
          <cell r="EL92">
            <v>-1.7006666666666661</v>
          </cell>
          <cell r="EM92">
            <v>-0.99333333333333274</v>
          </cell>
          <cell r="EN92">
            <v>-0.28599999999999937</v>
          </cell>
          <cell r="EO92">
            <v>0.421333333333334</v>
          </cell>
          <cell r="EP92">
            <v>1.1286666666666674</v>
          </cell>
          <cell r="EQ92">
            <v>1.8360000000000007</v>
          </cell>
          <cell r="ER92">
            <v>2.5433333333333339</v>
          </cell>
          <cell r="ES92">
            <v>3.2506666666666675</v>
          </cell>
          <cell r="ET92">
            <v>3.9580000000000011</v>
          </cell>
          <cell r="EU92">
            <v>4.6653333333333347</v>
          </cell>
          <cell r="EV92">
            <v>5.3726666666666683</v>
          </cell>
          <cell r="EW92">
            <v>6.0800000000000018</v>
          </cell>
          <cell r="EX92">
            <v>6.7873333333333354</v>
          </cell>
          <cell r="EY92">
            <v>7.494666666666669</v>
          </cell>
          <cell r="EZ92">
            <v>8.2020000000000017</v>
          </cell>
          <cell r="FA92">
            <v>8.9093333333333344</v>
          </cell>
          <cell r="FB92">
            <v>9.6166666666666671</v>
          </cell>
          <cell r="FC92">
            <v>10.324</v>
          </cell>
          <cell r="FD92">
            <v>11.031333333333333</v>
          </cell>
          <cell r="FE92">
            <v>11.738666666666665</v>
          </cell>
          <cell r="FF92">
            <v>12.445999999999998</v>
          </cell>
          <cell r="FG92">
            <v>13.153333333333331</v>
          </cell>
          <cell r="FH92">
            <v>13.860666666666663</v>
          </cell>
          <cell r="FI92">
            <v>14.567999999999996</v>
          </cell>
          <cell r="FJ92">
            <v>15.275333333333329</v>
          </cell>
          <cell r="FK92">
            <v>15.982666666666661</v>
          </cell>
          <cell r="FL92">
            <v>16.689999999999994</v>
          </cell>
          <cell r="FM92">
            <v>17.397333333333329</v>
          </cell>
          <cell r="FN92">
            <v>18.104666666666663</v>
          </cell>
          <cell r="FO92">
            <v>18.811999999999998</v>
          </cell>
          <cell r="FP92">
            <v>19.519333333333332</v>
          </cell>
          <cell r="FQ92">
            <v>20.226666666666667</v>
          </cell>
          <cell r="FR92">
            <v>20.934000000000001</v>
          </cell>
          <cell r="FS92">
            <v>21.641333333333336</v>
          </cell>
          <cell r="FT92">
            <v>22.34866666666667</v>
          </cell>
          <cell r="FU92">
            <v>23.056000000000004</v>
          </cell>
          <cell r="FV92">
            <v>23.763333333333339</v>
          </cell>
          <cell r="FW92">
            <v>24.470666666666673</v>
          </cell>
          <cell r="FX92">
            <v>25.178000000000008</v>
          </cell>
          <cell r="FY92">
            <v>25.885333333333342</v>
          </cell>
          <cell r="FZ92">
            <v>26.592666666666677</v>
          </cell>
          <cell r="GA92">
            <v>27.3</v>
          </cell>
        </row>
        <row r="93">
          <cell r="B93" t="str">
            <v>k6</v>
          </cell>
          <cell r="C93">
            <v>-7.4</v>
          </cell>
          <cell r="D93">
            <v>-7.3306666666666667</v>
          </cell>
          <cell r="E93">
            <v>-7.261333333333333</v>
          </cell>
          <cell r="F93">
            <v>-7.1919999999999993</v>
          </cell>
          <cell r="G93">
            <v>-7.1226666666666656</v>
          </cell>
          <cell r="H93">
            <v>-7.0533333333333319</v>
          </cell>
          <cell r="I93">
            <v>-6.9839999999999982</v>
          </cell>
          <cell r="J93">
            <v>-6.9146666666666645</v>
          </cell>
          <cell r="K93">
            <v>-6.8453333333333308</v>
          </cell>
          <cell r="L93">
            <v>-6.7759999999999971</v>
          </cell>
          <cell r="M93">
            <v>-6.7066666666666634</v>
          </cell>
          <cell r="N93">
            <v>-6.6373333333333298</v>
          </cell>
          <cell r="O93">
            <v>-6.5679999999999961</v>
          </cell>
          <cell r="P93">
            <v>-6.4986666666666624</v>
          </cell>
          <cell r="Q93">
            <v>-6.4293333333333287</v>
          </cell>
          <cell r="R93">
            <v>-6.359999999999995</v>
          </cell>
          <cell r="S93">
            <v>-6.2906666666666613</v>
          </cell>
          <cell r="T93">
            <v>-6.2213333333333276</v>
          </cell>
          <cell r="U93">
            <v>-6.1519999999999939</v>
          </cell>
          <cell r="V93">
            <v>-6.0826666666666602</v>
          </cell>
          <cell r="W93">
            <v>-6.0133333333333265</v>
          </cell>
          <cell r="X93">
            <v>-5.9439999999999928</v>
          </cell>
          <cell r="Y93">
            <v>-5.8746666666666592</v>
          </cell>
          <cell r="Z93">
            <v>-5.8053333333333255</v>
          </cell>
          <cell r="AA93">
            <v>-5.7359999999999918</v>
          </cell>
          <cell r="AB93">
            <v>-5.6666666666666581</v>
          </cell>
          <cell r="AC93">
            <v>-5.5973333333333244</v>
          </cell>
          <cell r="AD93">
            <v>-5.5279999999999907</v>
          </cell>
          <cell r="AE93">
            <v>-5.458666666666657</v>
          </cell>
          <cell r="AF93">
            <v>-5.3893333333333233</v>
          </cell>
          <cell r="AG93">
            <v>-5.3199999999999896</v>
          </cell>
          <cell r="AH93">
            <v>-5.2506666666666559</v>
          </cell>
          <cell r="AI93">
            <v>-5.1813333333333222</v>
          </cell>
          <cell r="AJ93">
            <v>-5.1119999999999886</v>
          </cell>
          <cell r="AK93">
            <v>-5.0426666666666549</v>
          </cell>
          <cell r="AL93">
            <v>-4.9733333333333212</v>
          </cell>
          <cell r="AM93">
            <v>-4.9039999999999875</v>
          </cell>
          <cell r="AN93">
            <v>-4.8346666666666538</v>
          </cell>
          <cell r="AO93">
            <v>-4.7653333333333201</v>
          </cell>
          <cell r="AP93">
            <v>-4.6959999999999864</v>
          </cell>
          <cell r="AQ93">
            <v>-4.6266666666666527</v>
          </cell>
          <cell r="AR93">
            <v>-4.557333333333319</v>
          </cell>
          <cell r="AS93">
            <v>-4.4879999999999853</v>
          </cell>
          <cell r="AT93">
            <v>-4.4186666666666516</v>
          </cell>
          <cell r="AU93">
            <v>-4.349333333333318</v>
          </cell>
          <cell r="AV93">
            <v>-4.28</v>
          </cell>
          <cell r="AW93">
            <v>-4.2213333333333338</v>
          </cell>
          <cell r="AX93">
            <v>-4.1626666666666674</v>
          </cell>
          <cell r="AY93">
            <v>-4.104000000000001</v>
          </cell>
          <cell r="AZ93">
            <v>-4.0453333333333346</v>
          </cell>
          <cell r="BA93">
            <v>-3.9866666666666677</v>
          </cell>
          <cell r="BB93">
            <v>-3.9280000000000008</v>
          </cell>
          <cell r="BC93">
            <v>-3.869333333333334</v>
          </cell>
          <cell r="BD93">
            <v>-3.8106666666666671</v>
          </cell>
          <cell r="BE93">
            <v>-3.7520000000000002</v>
          </cell>
          <cell r="BF93">
            <v>-3.6933333333333334</v>
          </cell>
          <cell r="BG93">
            <v>-3.6346666666666665</v>
          </cell>
          <cell r="BH93">
            <v>-3.5759999999999996</v>
          </cell>
          <cell r="BI93">
            <v>-3.5173333333333328</v>
          </cell>
          <cell r="BJ93">
            <v>-3.4586666666666659</v>
          </cell>
          <cell r="BK93">
            <v>-3.399999999999999</v>
          </cell>
          <cell r="BL93">
            <v>-3.3413333333333322</v>
          </cell>
          <cell r="BM93">
            <v>-3.2826666666666653</v>
          </cell>
          <cell r="BN93">
            <v>-3.2239999999999984</v>
          </cell>
          <cell r="BO93">
            <v>-3.1653333333333316</v>
          </cell>
          <cell r="BP93">
            <v>-3.1066666666666647</v>
          </cell>
          <cell r="BQ93">
            <v>-3.0479999999999978</v>
          </cell>
          <cell r="BR93">
            <v>-2.989333333333331</v>
          </cell>
          <cell r="BS93">
            <v>-2.9306666666666641</v>
          </cell>
          <cell r="BT93">
            <v>-2.8719999999999972</v>
          </cell>
          <cell r="BU93">
            <v>-2.8133333333333304</v>
          </cell>
          <cell r="BV93">
            <v>-2.7546666666666635</v>
          </cell>
          <cell r="BW93">
            <v>-2.6959999999999966</v>
          </cell>
          <cell r="BX93">
            <v>-2.6373333333333298</v>
          </cell>
          <cell r="BY93">
            <v>-2.5786666666666629</v>
          </cell>
          <cell r="BZ93">
            <v>-2.519999999999996</v>
          </cell>
          <cell r="CA93">
            <v>-2.4613333333333292</v>
          </cell>
          <cell r="CB93">
            <v>-2.4026666666666623</v>
          </cell>
          <cell r="CC93">
            <v>-2.3439999999999954</v>
          </cell>
          <cell r="CD93">
            <v>-2.2853333333333286</v>
          </cell>
          <cell r="CE93">
            <v>-2.2266666666666617</v>
          </cell>
          <cell r="CF93">
            <v>-2.1679999999999948</v>
          </cell>
          <cell r="CG93">
            <v>-2.109333333333328</v>
          </cell>
          <cell r="CH93">
            <v>-2.0506666666666611</v>
          </cell>
          <cell r="CI93">
            <v>-1.9919999999999944</v>
          </cell>
          <cell r="CJ93">
            <v>-1.9333333333333278</v>
          </cell>
          <cell r="CK93">
            <v>-1.8746666666666612</v>
          </cell>
          <cell r="CL93">
            <v>-1.8159999999999945</v>
          </cell>
          <cell r="CM93">
            <v>-1.7573333333333279</v>
          </cell>
          <cell r="CN93">
            <v>-1.6986666666666612</v>
          </cell>
          <cell r="CO93">
            <v>-1.64</v>
          </cell>
          <cell r="CP93">
            <v>-1.6125555555555555</v>
          </cell>
          <cell r="CQ93">
            <v>-1.5851111111111111</v>
          </cell>
          <cell r="CR93">
            <v>-1.5576666666666668</v>
          </cell>
          <cell r="CS93">
            <v>-1.5302222222222224</v>
          </cell>
          <cell r="CT93">
            <v>-1.502777777777778</v>
          </cell>
          <cell r="CU93">
            <v>-1.4753333333333336</v>
          </cell>
          <cell r="CV93">
            <v>-1.4478888888888892</v>
          </cell>
          <cell r="CW93">
            <v>-1.4204444444444448</v>
          </cell>
          <cell r="CX93">
            <v>-1.3930000000000005</v>
          </cell>
          <cell r="CY93">
            <v>-1.3655555555555561</v>
          </cell>
          <cell r="CZ93">
            <v>-1.3381111111111117</v>
          </cell>
          <cell r="DA93">
            <v>-1.3106666666666673</v>
          </cell>
          <cell r="DB93">
            <v>-1.2832222222222229</v>
          </cell>
          <cell r="DC93">
            <v>-1.2557777777777785</v>
          </cell>
          <cell r="DD93">
            <v>-1.2283333333333342</v>
          </cell>
          <cell r="DE93">
            <v>-1.2008888888888898</v>
          </cell>
          <cell r="DF93">
            <v>-1.1734444444444454</v>
          </cell>
          <cell r="DG93">
            <v>-1.146000000000001</v>
          </cell>
          <cell r="DH93">
            <v>-1.1185555555555566</v>
          </cell>
          <cell r="DI93">
            <v>-1.0911111111111123</v>
          </cell>
          <cell r="DJ93">
            <v>-1.0636666666666679</v>
          </cell>
          <cell r="DK93">
            <v>-1.0362222222222235</v>
          </cell>
          <cell r="DL93">
            <v>-1.0087777777777791</v>
          </cell>
          <cell r="DM93">
            <v>-0.98133333333333461</v>
          </cell>
          <cell r="DN93">
            <v>-0.95388888888889012</v>
          </cell>
          <cell r="DO93">
            <v>-0.92644444444444563</v>
          </cell>
          <cell r="DP93">
            <v>-0.89900000000000113</v>
          </cell>
          <cell r="DQ93">
            <v>-0.87155555555555664</v>
          </cell>
          <cell r="DR93">
            <v>-0.84411111111111214</v>
          </cell>
          <cell r="DS93">
            <v>-0.81666666666666765</v>
          </cell>
          <cell r="DT93">
            <v>-0.78922222222222316</v>
          </cell>
          <cell r="DU93">
            <v>-0.76177777777777866</v>
          </cell>
          <cell r="DV93">
            <v>-0.73433333333333417</v>
          </cell>
          <cell r="DW93">
            <v>-0.70688888888888968</v>
          </cell>
          <cell r="DX93">
            <v>-0.67944444444444518</v>
          </cell>
          <cell r="DY93">
            <v>-0.65200000000000069</v>
          </cell>
          <cell r="DZ93">
            <v>-0.6245555555555562</v>
          </cell>
          <cell r="EA93">
            <v>-0.5971111111111117</v>
          </cell>
          <cell r="EB93">
            <v>-0.56966666666666721</v>
          </cell>
          <cell r="EC93">
            <v>-0.54222222222222272</v>
          </cell>
          <cell r="ED93">
            <v>-0.51477777777777822</v>
          </cell>
          <cell r="EE93">
            <v>-0.48733333333333378</v>
          </cell>
          <cell r="EF93">
            <v>-0.45988888888888935</v>
          </cell>
          <cell r="EG93">
            <v>-0.43244444444444491</v>
          </cell>
          <cell r="EH93">
            <v>-0.40500000000000003</v>
          </cell>
          <cell r="EI93">
            <v>-0.6604444444444445</v>
          </cell>
          <cell r="EJ93">
            <v>-0.91588888888888897</v>
          </cell>
          <cell r="EK93">
            <v>-1.1713333333333336</v>
          </cell>
          <cell r="EL93">
            <v>-1.4267777777777781</v>
          </cell>
          <cell r="EM93">
            <v>-1.6822222222222227</v>
          </cell>
          <cell r="EN93">
            <v>-1.9376666666666673</v>
          </cell>
          <cell r="EO93">
            <v>-2.1931111111111119</v>
          </cell>
          <cell r="EP93">
            <v>-2.4485555555555565</v>
          </cell>
          <cell r="EQ93">
            <v>-2.7040000000000011</v>
          </cell>
          <cell r="ER93">
            <v>-2.9594444444444457</v>
          </cell>
          <cell r="ES93">
            <v>-3.2148888888888902</v>
          </cell>
          <cell r="ET93">
            <v>-3.4703333333333348</v>
          </cell>
          <cell r="EU93">
            <v>-3.7257777777777794</v>
          </cell>
          <cell r="EV93">
            <v>-3.981222222222224</v>
          </cell>
          <cell r="EW93">
            <v>-4.2366666666666681</v>
          </cell>
          <cell r="EX93">
            <v>-4.4921111111111127</v>
          </cell>
          <cell r="EY93">
            <v>-4.7475555555555573</v>
          </cell>
          <cell r="EZ93">
            <v>-5.0030000000000019</v>
          </cell>
          <cell r="FA93">
            <v>-5.2584444444444465</v>
          </cell>
          <cell r="FB93">
            <v>-5.5138888888888911</v>
          </cell>
          <cell r="FC93">
            <v>-5.7693333333333356</v>
          </cell>
          <cell r="FD93">
            <v>-6.0247777777777802</v>
          </cell>
          <cell r="FE93">
            <v>-6.2802222222222248</v>
          </cell>
          <cell r="FF93">
            <v>-6.5356666666666694</v>
          </cell>
          <cell r="FG93">
            <v>-6.791111111111114</v>
          </cell>
          <cell r="FH93">
            <v>-7.0465555555555586</v>
          </cell>
          <cell r="FI93">
            <v>-7.3020000000000032</v>
          </cell>
          <cell r="FJ93">
            <v>-7.5574444444444477</v>
          </cell>
          <cell r="FK93">
            <v>-7.8128888888888923</v>
          </cell>
          <cell r="FL93">
            <v>-8.0683333333333369</v>
          </cell>
          <cell r="FM93">
            <v>-8.3237777777777815</v>
          </cell>
          <cell r="FN93">
            <v>-8.5792222222222261</v>
          </cell>
          <cell r="FO93">
            <v>-8.8346666666666707</v>
          </cell>
          <cell r="FP93">
            <v>-9.0901111111111152</v>
          </cell>
          <cell r="FQ93">
            <v>-9.3455555555555598</v>
          </cell>
          <cell r="FR93">
            <v>-9.6010000000000044</v>
          </cell>
          <cell r="FS93">
            <v>-9.856444444444449</v>
          </cell>
          <cell r="FT93">
            <v>-10.111888888888894</v>
          </cell>
          <cell r="FU93">
            <v>-10.367333333333338</v>
          </cell>
          <cell r="FV93">
            <v>-10.622777777777783</v>
          </cell>
          <cell r="FW93">
            <v>-10.878222222222227</v>
          </cell>
          <cell r="FX93">
            <v>-11.133666666666672</v>
          </cell>
          <cell r="FY93">
            <v>-11.389111111111117</v>
          </cell>
          <cell r="FZ93">
            <v>-11.644555555555561</v>
          </cell>
          <cell r="GA93">
            <v>-11.9</v>
          </cell>
        </row>
        <row r="94">
          <cell r="B94" t="str">
            <v>k7</v>
          </cell>
          <cell r="C94">
            <v>-2.71</v>
          </cell>
          <cell r="D94">
            <v>-2.7102222222222223</v>
          </cell>
          <cell r="E94">
            <v>-2.7104444444444447</v>
          </cell>
          <cell r="F94">
            <v>-2.710666666666667</v>
          </cell>
          <cell r="G94">
            <v>-2.7108888888888893</v>
          </cell>
          <cell r="H94">
            <v>-2.7111111111111117</v>
          </cell>
          <cell r="I94">
            <v>-2.711333333333334</v>
          </cell>
          <cell r="J94">
            <v>-2.7115555555555564</v>
          </cell>
          <cell r="K94">
            <v>-2.7117777777777787</v>
          </cell>
          <cell r="L94">
            <v>-2.7120000000000011</v>
          </cell>
          <cell r="M94">
            <v>-2.7122222222222234</v>
          </cell>
          <cell r="N94">
            <v>-2.7124444444444458</v>
          </cell>
          <cell r="O94">
            <v>-2.7126666666666681</v>
          </cell>
          <cell r="P94">
            <v>-2.7128888888888905</v>
          </cell>
          <cell r="Q94">
            <v>-2.7131111111111128</v>
          </cell>
          <cell r="R94">
            <v>-2.7133333333333352</v>
          </cell>
          <cell r="S94">
            <v>-2.7135555555555575</v>
          </cell>
          <cell r="T94">
            <v>-2.7137777777777798</v>
          </cell>
          <cell r="U94">
            <v>-2.7140000000000022</v>
          </cell>
          <cell r="V94">
            <v>-2.7142222222222245</v>
          </cell>
          <cell r="W94">
            <v>-2.7144444444444469</v>
          </cell>
          <cell r="X94">
            <v>-2.7146666666666692</v>
          </cell>
          <cell r="Y94">
            <v>-2.7148888888888916</v>
          </cell>
          <cell r="Z94">
            <v>-2.7151111111111139</v>
          </cell>
          <cell r="AA94">
            <v>-2.7153333333333363</v>
          </cell>
          <cell r="AB94">
            <v>-2.7155555555555586</v>
          </cell>
          <cell r="AC94">
            <v>-2.715777777777781</v>
          </cell>
          <cell r="AD94">
            <v>-2.7160000000000033</v>
          </cell>
          <cell r="AE94">
            <v>-2.7162222222222256</v>
          </cell>
          <cell r="AF94">
            <v>-2.716444444444448</v>
          </cell>
          <cell r="AG94">
            <v>-2.7166666666666703</v>
          </cell>
          <cell r="AH94">
            <v>-2.7168888888888927</v>
          </cell>
          <cell r="AI94">
            <v>-2.717111111111115</v>
          </cell>
          <cell r="AJ94">
            <v>-2.7173333333333374</v>
          </cell>
          <cell r="AK94">
            <v>-2.7175555555555597</v>
          </cell>
          <cell r="AL94">
            <v>-2.7177777777777821</v>
          </cell>
          <cell r="AM94">
            <v>-2.7180000000000044</v>
          </cell>
          <cell r="AN94">
            <v>-2.7182222222222268</v>
          </cell>
          <cell r="AO94">
            <v>-2.7184444444444491</v>
          </cell>
          <cell r="AP94">
            <v>-2.7186666666666714</v>
          </cell>
          <cell r="AQ94">
            <v>-2.7188888888888938</v>
          </cell>
          <cell r="AR94">
            <v>-2.7191111111111161</v>
          </cell>
          <cell r="AS94">
            <v>-2.7193333333333385</v>
          </cell>
          <cell r="AT94">
            <v>-2.7195555555555608</v>
          </cell>
          <cell r="AU94">
            <v>-2.7197777777777832</v>
          </cell>
          <cell r="AV94">
            <v>-2.72</v>
          </cell>
          <cell r="AW94">
            <v>-2.6716000000000002</v>
          </cell>
          <cell r="AX94">
            <v>-2.6232000000000002</v>
          </cell>
          <cell r="AY94">
            <v>-2.5748000000000002</v>
          </cell>
          <cell r="AZ94">
            <v>-2.5264000000000002</v>
          </cell>
          <cell r="BA94">
            <v>-2.4780000000000002</v>
          </cell>
          <cell r="BB94">
            <v>-2.4296000000000002</v>
          </cell>
          <cell r="BC94">
            <v>-2.3812000000000002</v>
          </cell>
          <cell r="BD94">
            <v>-2.3328000000000002</v>
          </cell>
          <cell r="BE94">
            <v>-2.2844000000000002</v>
          </cell>
          <cell r="BF94">
            <v>-2.2360000000000002</v>
          </cell>
          <cell r="BG94">
            <v>-2.1876000000000002</v>
          </cell>
          <cell r="BH94">
            <v>-2.1392000000000002</v>
          </cell>
          <cell r="BI94">
            <v>-2.0908000000000002</v>
          </cell>
          <cell r="BJ94">
            <v>-2.0424000000000002</v>
          </cell>
          <cell r="BK94">
            <v>-1.9940000000000002</v>
          </cell>
          <cell r="BL94">
            <v>-1.9456000000000002</v>
          </cell>
          <cell r="BM94">
            <v>-1.8972000000000002</v>
          </cell>
          <cell r="BN94">
            <v>-1.8488000000000002</v>
          </cell>
          <cell r="BO94">
            <v>-1.8004000000000002</v>
          </cell>
          <cell r="BP94">
            <v>-1.7520000000000002</v>
          </cell>
          <cell r="BQ94">
            <v>-1.7036000000000002</v>
          </cell>
          <cell r="BR94">
            <v>-1.6552000000000002</v>
          </cell>
          <cell r="BS94">
            <v>-1.6068000000000002</v>
          </cell>
          <cell r="BT94">
            <v>-1.5584000000000002</v>
          </cell>
          <cell r="BU94">
            <v>-1.5100000000000002</v>
          </cell>
          <cell r="BV94">
            <v>-1.4616000000000002</v>
          </cell>
          <cell r="BW94">
            <v>-1.4132000000000002</v>
          </cell>
          <cell r="BX94">
            <v>-1.3648000000000002</v>
          </cell>
          <cell r="BY94">
            <v>-1.3164000000000002</v>
          </cell>
          <cell r="BZ94">
            <v>-1.2680000000000002</v>
          </cell>
          <cell r="CA94">
            <v>-1.2196000000000002</v>
          </cell>
          <cell r="CB94">
            <v>-1.1712000000000002</v>
          </cell>
          <cell r="CC94">
            <v>-1.1228000000000002</v>
          </cell>
          <cell r="CD94">
            <v>-1.0744000000000002</v>
          </cell>
          <cell r="CE94">
            <v>-1.0260000000000002</v>
          </cell>
          <cell r="CF94">
            <v>-0.97760000000000025</v>
          </cell>
          <cell r="CG94">
            <v>-0.92920000000000025</v>
          </cell>
          <cell r="CH94">
            <v>-0.88080000000000025</v>
          </cell>
          <cell r="CI94">
            <v>-0.83240000000000025</v>
          </cell>
          <cell r="CJ94">
            <v>-0.78400000000000025</v>
          </cell>
          <cell r="CK94">
            <v>-0.73560000000000025</v>
          </cell>
          <cell r="CL94">
            <v>-0.68720000000000026</v>
          </cell>
          <cell r="CM94">
            <v>-0.63880000000000026</v>
          </cell>
          <cell r="CN94">
            <v>-0.59040000000000026</v>
          </cell>
          <cell r="CO94">
            <v>-0.54200000000000004</v>
          </cell>
          <cell r="CP94">
            <v>-0.6272888888888889</v>
          </cell>
          <cell r="CQ94">
            <v>-0.71257777777777775</v>
          </cell>
          <cell r="CR94">
            <v>-0.79786666666666661</v>
          </cell>
          <cell r="CS94">
            <v>-0.88315555555555547</v>
          </cell>
          <cell r="CT94">
            <v>-0.96844444444444433</v>
          </cell>
          <cell r="CU94">
            <v>-1.0537333333333332</v>
          </cell>
          <cell r="CV94">
            <v>-1.1390222222222222</v>
          </cell>
          <cell r="CW94">
            <v>-1.2243111111111111</v>
          </cell>
          <cell r="CX94">
            <v>-1.3096000000000001</v>
          </cell>
          <cell r="CY94">
            <v>-1.3948888888888891</v>
          </cell>
          <cell r="CZ94">
            <v>-1.480177777777778</v>
          </cell>
          <cell r="DA94">
            <v>-1.565466666666667</v>
          </cell>
          <cell r="DB94">
            <v>-1.650755555555556</v>
          </cell>
          <cell r="DC94">
            <v>-1.7360444444444449</v>
          </cell>
          <cell r="DD94">
            <v>-1.8213333333333339</v>
          </cell>
          <cell r="DE94">
            <v>-1.9066222222222229</v>
          </cell>
          <cell r="DF94">
            <v>-1.9919111111111119</v>
          </cell>
          <cell r="DG94">
            <v>-2.0772000000000008</v>
          </cell>
          <cell r="DH94">
            <v>-2.1624888888888898</v>
          </cell>
          <cell r="DI94">
            <v>-2.2477777777777788</v>
          </cell>
          <cell r="DJ94">
            <v>-2.3330666666666677</v>
          </cell>
          <cell r="DK94">
            <v>-2.4183555555555567</v>
          </cell>
          <cell r="DL94">
            <v>-2.5036444444444457</v>
          </cell>
          <cell r="DM94">
            <v>-2.5889333333333346</v>
          </cell>
          <cell r="DN94">
            <v>-2.6742222222222236</v>
          </cell>
          <cell r="DO94">
            <v>-2.7595111111111126</v>
          </cell>
          <cell r="DP94">
            <v>-2.8448000000000015</v>
          </cell>
          <cell r="DQ94">
            <v>-2.9300888888888905</v>
          </cell>
          <cell r="DR94">
            <v>-3.0153777777777795</v>
          </cell>
          <cell r="DS94">
            <v>-3.1006666666666685</v>
          </cell>
          <cell r="DT94">
            <v>-3.1859555555555574</v>
          </cell>
          <cell r="DU94">
            <v>-3.2712444444444464</v>
          </cell>
          <cell r="DV94">
            <v>-3.3565333333333354</v>
          </cell>
          <cell r="DW94">
            <v>-3.4418222222222243</v>
          </cell>
          <cell r="DX94">
            <v>-3.5271111111111133</v>
          </cell>
          <cell r="DY94">
            <v>-3.6124000000000023</v>
          </cell>
          <cell r="DZ94">
            <v>-3.6976888888888912</v>
          </cell>
          <cell r="EA94">
            <v>-3.7829777777777802</v>
          </cell>
          <cell r="EB94">
            <v>-3.8682666666666692</v>
          </cell>
          <cell r="EC94">
            <v>-3.9535555555555582</v>
          </cell>
          <cell r="ED94">
            <v>-4.0388444444444467</v>
          </cell>
          <cell r="EE94">
            <v>-4.1241333333333356</v>
          </cell>
          <cell r="EF94">
            <v>-4.2094222222222246</v>
          </cell>
          <cell r="EG94">
            <v>-4.2947111111111136</v>
          </cell>
          <cell r="EH94">
            <v>-4.38</v>
          </cell>
          <cell r="EI94">
            <v>-4.306222222222222</v>
          </cell>
          <cell r="EJ94">
            <v>-4.232444444444444</v>
          </cell>
          <cell r="EK94">
            <v>-4.1586666666666661</v>
          </cell>
          <cell r="EL94">
            <v>-4.0848888888888881</v>
          </cell>
          <cell r="EM94">
            <v>-4.0111111111111102</v>
          </cell>
          <cell r="EN94">
            <v>-3.9373333333333322</v>
          </cell>
          <cell r="EO94">
            <v>-3.8635555555555543</v>
          </cell>
          <cell r="EP94">
            <v>-3.7897777777777764</v>
          </cell>
          <cell r="EQ94">
            <v>-3.7159999999999984</v>
          </cell>
          <cell r="ER94">
            <v>-3.6422222222222205</v>
          </cell>
          <cell r="ES94">
            <v>-3.5684444444444425</v>
          </cell>
          <cell r="ET94">
            <v>-3.4946666666666646</v>
          </cell>
          <cell r="EU94">
            <v>-3.4208888888888866</v>
          </cell>
          <cell r="EV94">
            <v>-3.3471111111111087</v>
          </cell>
          <cell r="EW94">
            <v>-3.2733333333333308</v>
          </cell>
          <cell r="EX94">
            <v>-3.1995555555555528</v>
          </cell>
          <cell r="EY94">
            <v>-3.1257777777777749</v>
          </cell>
          <cell r="EZ94">
            <v>-3.0519999999999969</v>
          </cell>
          <cell r="FA94">
            <v>-2.978222222222219</v>
          </cell>
          <cell r="FB94">
            <v>-2.9044444444444411</v>
          </cell>
          <cell r="FC94">
            <v>-2.8306666666666631</v>
          </cell>
          <cell r="FD94">
            <v>-2.7568888888888852</v>
          </cell>
          <cell r="FE94">
            <v>-2.6831111111111072</v>
          </cell>
          <cell r="FF94">
            <v>-2.6093333333333293</v>
          </cell>
          <cell r="FG94">
            <v>-2.5355555555555513</v>
          </cell>
          <cell r="FH94">
            <v>-2.4617777777777734</v>
          </cell>
          <cell r="FI94">
            <v>-2.3879999999999955</v>
          </cell>
          <cell r="FJ94">
            <v>-2.3142222222222175</v>
          </cell>
          <cell r="FK94">
            <v>-2.2404444444444396</v>
          </cell>
          <cell r="FL94">
            <v>-2.1666666666666616</v>
          </cell>
          <cell r="FM94">
            <v>-2.0928888888888837</v>
          </cell>
          <cell r="FN94">
            <v>-2.0191111111111057</v>
          </cell>
          <cell r="FO94">
            <v>-1.945333333333328</v>
          </cell>
          <cell r="FP94">
            <v>-1.8715555555555503</v>
          </cell>
          <cell r="FQ94">
            <v>-1.7977777777777726</v>
          </cell>
          <cell r="FR94">
            <v>-1.7239999999999949</v>
          </cell>
          <cell r="FS94">
            <v>-1.6502222222222171</v>
          </cell>
          <cell r="FT94">
            <v>-1.5764444444444394</v>
          </cell>
          <cell r="FU94">
            <v>-1.5026666666666617</v>
          </cell>
          <cell r="FV94">
            <v>-1.428888888888884</v>
          </cell>
          <cell r="FW94">
            <v>-1.3551111111111063</v>
          </cell>
          <cell r="FX94">
            <v>-1.2813333333333286</v>
          </cell>
          <cell r="FY94">
            <v>-1.2075555555555508</v>
          </cell>
          <cell r="FZ94">
            <v>-1.1337777777777731</v>
          </cell>
          <cell r="GA94">
            <v>-1.06</v>
          </cell>
        </row>
        <row r="95">
          <cell r="B95" t="str">
            <v>k8</v>
          </cell>
          <cell r="C95">
            <v>-0.99099999999999999</v>
          </cell>
          <cell r="D95">
            <v>-0.97453333333333336</v>
          </cell>
          <cell r="E95">
            <v>-0.95806666666666673</v>
          </cell>
          <cell r="F95">
            <v>-0.9416000000000001</v>
          </cell>
          <cell r="G95">
            <v>-0.92513333333333347</v>
          </cell>
          <cell r="H95">
            <v>-0.90866666666666684</v>
          </cell>
          <cell r="I95">
            <v>-0.89220000000000022</v>
          </cell>
          <cell r="J95">
            <v>-0.87573333333333359</v>
          </cell>
          <cell r="K95">
            <v>-0.85926666666666696</v>
          </cell>
          <cell r="L95">
            <v>-0.84280000000000033</v>
          </cell>
          <cell r="M95">
            <v>-0.8263333333333337</v>
          </cell>
          <cell r="N95">
            <v>-0.80986666666666707</v>
          </cell>
          <cell r="O95">
            <v>-0.79340000000000044</v>
          </cell>
          <cell r="P95">
            <v>-0.77693333333333381</v>
          </cell>
          <cell r="Q95">
            <v>-0.76046666666666718</v>
          </cell>
          <cell r="R95">
            <v>-0.74400000000000055</v>
          </cell>
          <cell r="S95">
            <v>-0.72753333333333392</v>
          </cell>
          <cell r="T95">
            <v>-0.71106666666666729</v>
          </cell>
          <cell r="U95">
            <v>-0.69460000000000066</v>
          </cell>
          <cell r="V95">
            <v>-0.67813333333333403</v>
          </cell>
          <cell r="W95">
            <v>-0.6616666666666674</v>
          </cell>
          <cell r="X95">
            <v>-0.64520000000000077</v>
          </cell>
          <cell r="Y95">
            <v>-0.62873333333333414</v>
          </cell>
          <cell r="Z95">
            <v>-0.61226666666666751</v>
          </cell>
          <cell r="AA95">
            <v>-0.59580000000000088</v>
          </cell>
          <cell r="AB95">
            <v>-0.57933333333333425</v>
          </cell>
          <cell r="AC95">
            <v>-0.56286666666666763</v>
          </cell>
          <cell r="AD95">
            <v>-0.546400000000001</v>
          </cell>
          <cell r="AE95">
            <v>-0.52993333333333437</v>
          </cell>
          <cell r="AF95">
            <v>-0.51346666666666774</v>
          </cell>
          <cell r="AG95">
            <v>-0.49700000000000105</v>
          </cell>
          <cell r="AH95">
            <v>-0.48053333333333437</v>
          </cell>
          <cell r="AI95">
            <v>-0.46406666666666768</v>
          </cell>
          <cell r="AJ95">
            <v>-0.447600000000001</v>
          </cell>
          <cell r="AK95">
            <v>-0.43113333333333431</v>
          </cell>
          <cell r="AL95">
            <v>-0.41466666666666763</v>
          </cell>
          <cell r="AM95">
            <v>-0.39820000000000094</v>
          </cell>
          <cell r="AN95">
            <v>-0.38173333333333426</v>
          </cell>
          <cell r="AO95">
            <v>-0.36526666666666757</v>
          </cell>
          <cell r="AP95">
            <v>-0.34880000000000089</v>
          </cell>
          <cell r="AQ95">
            <v>-0.3323333333333342</v>
          </cell>
          <cell r="AR95">
            <v>-0.31586666666666752</v>
          </cell>
          <cell r="AS95">
            <v>-0.29940000000000083</v>
          </cell>
          <cell r="AT95">
            <v>-0.28293333333333415</v>
          </cell>
          <cell r="AU95">
            <v>-0.26646666666666746</v>
          </cell>
          <cell r="AV95">
            <v>-0.25</v>
          </cell>
          <cell r="AW95">
            <v>-0.26126666666666665</v>
          </cell>
          <cell r="AX95">
            <v>-0.27253333333333329</v>
          </cell>
          <cell r="AY95">
            <v>-0.28379999999999994</v>
          </cell>
          <cell r="AZ95">
            <v>-0.29506666666666659</v>
          </cell>
          <cell r="BA95">
            <v>-0.30633333333333324</v>
          </cell>
          <cell r="BB95">
            <v>-0.31759999999999988</v>
          </cell>
          <cell r="BC95">
            <v>-0.32886666666666653</v>
          </cell>
          <cell r="BD95">
            <v>-0.34013333333333318</v>
          </cell>
          <cell r="BE95">
            <v>-0.35139999999999982</v>
          </cell>
          <cell r="BF95">
            <v>-0.36266666666666647</v>
          </cell>
          <cell r="BG95">
            <v>-0.37393333333333312</v>
          </cell>
          <cell r="BH95">
            <v>-0.38519999999999976</v>
          </cell>
          <cell r="BI95">
            <v>-0.39646666666666641</v>
          </cell>
          <cell r="BJ95">
            <v>-0.40773333333333306</v>
          </cell>
          <cell r="BK95">
            <v>-0.41899999999999971</v>
          </cell>
          <cell r="BL95">
            <v>-0.43026666666666635</v>
          </cell>
          <cell r="BM95">
            <v>-0.441533333333333</v>
          </cell>
          <cell r="BN95">
            <v>-0.45279999999999965</v>
          </cell>
          <cell r="BO95">
            <v>-0.46406666666666629</v>
          </cell>
          <cell r="BP95">
            <v>-0.47533333333333294</v>
          </cell>
          <cell r="BQ95">
            <v>-0.48659999999999959</v>
          </cell>
          <cell r="BR95">
            <v>-0.49786666666666624</v>
          </cell>
          <cell r="BS95">
            <v>-0.50913333333333288</v>
          </cell>
          <cell r="BT95">
            <v>-0.52039999999999953</v>
          </cell>
          <cell r="BU95">
            <v>-0.53166666666666618</v>
          </cell>
          <cell r="BV95">
            <v>-0.54293333333333282</v>
          </cell>
          <cell r="BW95">
            <v>-0.55419999999999947</v>
          </cell>
          <cell r="BX95">
            <v>-0.56546666666666612</v>
          </cell>
          <cell r="BY95">
            <v>-0.57673333333333276</v>
          </cell>
          <cell r="BZ95">
            <v>-0.58799999999999941</v>
          </cell>
          <cell r="CA95">
            <v>-0.59926666666666606</v>
          </cell>
          <cell r="CB95">
            <v>-0.61053333333333271</v>
          </cell>
          <cell r="CC95">
            <v>-0.62179999999999935</v>
          </cell>
          <cell r="CD95">
            <v>-0.633066666666666</v>
          </cell>
          <cell r="CE95">
            <v>-0.64433333333333265</v>
          </cell>
          <cell r="CF95">
            <v>-0.65559999999999929</v>
          </cell>
          <cell r="CG95">
            <v>-0.66686666666666594</v>
          </cell>
          <cell r="CH95">
            <v>-0.67813333333333259</v>
          </cell>
          <cell r="CI95">
            <v>-0.68939999999999924</v>
          </cell>
          <cell r="CJ95">
            <v>-0.70066666666666588</v>
          </cell>
          <cell r="CK95">
            <v>-0.71193333333333253</v>
          </cell>
          <cell r="CL95">
            <v>-0.72319999999999918</v>
          </cell>
          <cell r="CM95">
            <v>-0.73446666666666582</v>
          </cell>
          <cell r="CN95">
            <v>-0.74573333333333247</v>
          </cell>
          <cell r="CO95">
            <v>-0.75700000000000001</v>
          </cell>
          <cell r="CP95">
            <v>-0.63151111111111113</v>
          </cell>
          <cell r="CQ95">
            <v>-0.50602222222222226</v>
          </cell>
          <cell r="CR95">
            <v>-0.38053333333333339</v>
          </cell>
          <cell r="CS95">
            <v>-0.25504444444444452</v>
          </cell>
          <cell r="CT95">
            <v>-0.12955555555555565</v>
          </cell>
          <cell r="CU95">
            <v>-4.0666666666667739E-3</v>
          </cell>
          <cell r="CV95">
            <v>0.1214222222222221</v>
          </cell>
          <cell r="CW95">
            <v>0.24691111111111097</v>
          </cell>
          <cell r="CX95">
            <v>0.37239999999999984</v>
          </cell>
          <cell r="CY95">
            <v>0.49788888888888871</v>
          </cell>
          <cell r="CZ95">
            <v>0.62337777777777759</v>
          </cell>
          <cell r="DA95">
            <v>0.74886666666666646</v>
          </cell>
          <cell r="DB95">
            <v>0.87435555555555533</v>
          </cell>
          <cell r="DC95">
            <v>0.9998444444444442</v>
          </cell>
          <cell r="DD95">
            <v>1.1253333333333331</v>
          </cell>
          <cell r="DE95">
            <v>1.2508222222222218</v>
          </cell>
          <cell r="DF95">
            <v>1.3763111111111108</v>
          </cell>
          <cell r="DG95">
            <v>1.5017999999999998</v>
          </cell>
          <cell r="DH95">
            <v>1.6272888888888888</v>
          </cell>
          <cell r="DI95">
            <v>1.7527777777777778</v>
          </cell>
          <cell r="DJ95">
            <v>1.8782666666666668</v>
          </cell>
          <cell r="DK95">
            <v>2.0037555555555557</v>
          </cell>
          <cell r="DL95">
            <v>2.1292444444444447</v>
          </cell>
          <cell r="DM95">
            <v>2.2547333333333337</v>
          </cell>
          <cell r="DN95">
            <v>2.3802222222222227</v>
          </cell>
          <cell r="DO95">
            <v>2.5057111111111117</v>
          </cell>
          <cell r="DP95">
            <v>2.6312000000000006</v>
          </cell>
          <cell r="DQ95">
            <v>2.7566888888888896</v>
          </cell>
          <cell r="DR95">
            <v>2.8821777777777786</v>
          </cell>
          <cell r="DS95">
            <v>3.0076666666666676</v>
          </cell>
          <cell r="DT95">
            <v>3.1331555555555566</v>
          </cell>
          <cell r="DU95">
            <v>3.2586444444444456</v>
          </cell>
          <cell r="DV95">
            <v>3.3841333333333345</v>
          </cell>
          <cell r="DW95">
            <v>3.5096222222222235</v>
          </cell>
          <cell r="DX95">
            <v>3.6351111111111125</v>
          </cell>
          <cell r="DY95">
            <v>3.7606000000000015</v>
          </cell>
          <cell r="DZ95">
            <v>3.8860888888888905</v>
          </cell>
          <cell r="EA95">
            <v>4.011577777777779</v>
          </cell>
          <cell r="EB95">
            <v>4.1370666666666676</v>
          </cell>
          <cell r="EC95">
            <v>4.2625555555555561</v>
          </cell>
          <cell r="ED95">
            <v>4.3880444444444446</v>
          </cell>
          <cell r="EE95">
            <v>4.5135333333333332</v>
          </cell>
          <cell r="EF95">
            <v>4.6390222222222217</v>
          </cell>
          <cell r="EG95">
            <v>4.7645111111111103</v>
          </cell>
          <cell r="EH95">
            <v>4.8899999999999997</v>
          </cell>
          <cell r="EI95">
            <v>4.7832711111111106</v>
          </cell>
          <cell r="EJ95">
            <v>4.6765422222222215</v>
          </cell>
          <cell r="EK95">
            <v>4.5698133333333324</v>
          </cell>
          <cell r="EL95">
            <v>4.4630844444444433</v>
          </cell>
          <cell r="EM95">
            <v>4.3563555555555542</v>
          </cell>
          <cell r="EN95">
            <v>4.2496266666666651</v>
          </cell>
          <cell r="EO95">
            <v>4.142897777777776</v>
          </cell>
          <cell r="EP95">
            <v>4.0361688888888869</v>
          </cell>
          <cell r="EQ95">
            <v>3.9294399999999978</v>
          </cell>
          <cell r="ER95">
            <v>3.8227111111111087</v>
          </cell>
          <cell r="ES95">
            <v>3.7159822222222196</v>
          </cell>
          <cell r="ET95">
            <v>3.6092533333333305</v>
          </cell>
          <cell r="EU95">
            <v>3.5025244444444414</v>
          </cell>
          <cell r="EV95">
            <v>3.3957955555555523</v>
          </cell>
          <cell r="EW95">
            <v>3.2890666666666633</v>
          </cell>
          <cell r="EX95">
            <v>3.1823377777777742</v>
          </cell>
          <cell r="EY95">
            <v>3.0756088888888851</v>
          </cell>
          <cell r="EZ95">
            <v>2.968879999999996</v>
          </cell>
          <cell r="FA95">
            <v>2.8621511111111069</v>
          </cell>
          <cell r="FB95">
            <v>2.7554222222222178</v>
          </cell>
          <cell r="FC95">
            <v>2.6486933333333287</v>
          </cell>
          <cell r="FD95">
            <v>2.5419644444444396</v>
          </cell>
          <cell r="FE95">
            <v>2.4352355555555505</v>
          </cell>
          <cell r="FF95">
            <v>2.3285066666666614</v>
          </cell>
          <cell r="FG95">
            <v>2.2217777777777723</v>
          </cell>
          <cell r="FH95">
            <v>2.1150488888888832</v>
          </cell>
          <cell r="FI95">
            <v>2.0083199999999941</v>
          </cell>
          <cell r="FJ95">
            <v>1.9015911111111052</v>
          </cell>
          <cell r="FK95">
            <v>1.7948622222222164</v>
          </cell>
          <cell r="FL95">
            <v>1.6881333333333275</v>
          </cell>
          <cell r="FM95">
            <v>1.5814044444444386</v>
          </cell>
          <cell r="FN95">
            <v>1.4746755555555497</v>
          </cell>
          <cell r="FO95">
            <v>1.3679466666666609</v>
          </cell>
          <cell r="FP95">
            <v>1.261217777777772</v>
          </cell>
          <cell r="FQ95">
            <v>1.1544888888888831</v>
          </cell>
          <cell r="FR95">
            <v>1.0477599999999943</v>
          </cell>
          <cell r="FS95">
            <v>0.94103111111110538</v>
          </cell>
          <cell r="FT95">
            <v>0.83430222222221651</v>
          </cell>
          <cell r="FU95">
            <v>0.72757333333332763</v>
          </cell>
          <cell r="FV95">
            <v>0.62084444444443876</v>
          </cell>
          <cell r="FW95">
            <v>0.51411555555554989</v>
          </cell>
          <cell r="FX95">
            <v>0.40738666666666101</v>
          </cell>
          <cell r="FY95">
            <v>0.30065777777777214</v>
          </cell>
          <cell r="FZ95">
            <v>0.19392888888888327</v>
          </cell>
          <cell r="GA95">
            <v>8.72E-2</v>
          </cell>
        </row>
        <row r="96">
          <cell r="B96" t="str">
            <v>k9</v>
          </cell>
          <cell r="C96">
            <v>4.59</v>
          </cell>
          <cell r="D96">
            <v>4.556222222222222</v>
          </cell>
          <cell r="E96">
            <v>4.522444444444444</v>
          </cell>
          <cell r="F96">
            <v>4.4886666666666661</v>
          </cell>
          <cell r="G96">
            <v>4.4548888888888882</v>
          </cell>
          <cell r="H96">
            <v>4.4211111111111103</v>
          </cell>
          <cell r="I96">
            <v>4.3873333333333324</v>
          </cell>
          <cell r="J96">
            <v>4.3535555555555545</v>
          </cell>
          <cell r="K96">
            <v>4.3197777777777766</v>
          </cell>
          <cell r="L96">
            <v>4.2859999999999987</v>
          </cell>
          <cell r="M96">
            <v>4.2522222222222208</v>
          </cell>
          <cell r="N96">
            <v>4.2184444444444429</v>
          </cell>
          <cell r="O96">
            <v>4.184666666666665</v>
          </cell>
          <cell r="P96">
            <v>4.1508888888888871</v>
          </cell>
          <cell r="Q96">
            <v>4.1171111111111092</v>
          </cell>
          <cell r="R96">
            <v>4.0833333333333313</v>
          </cell>
          <cell r="S96">
            <v>4.0495555555555534</v>
          </cell>
          <cell r="T96">
            <v>4.0157777777777754</v>
          </cell>
          <cell r="U96">
            <v>3.9819999999999975</v>
          </cell>
          <cell r="V96">
            <v>3.9482222222222196</v>
          </cell>
          <cell r="W96">
            <v>3.9144444444444417</v>
          </cell>
          <cell r="X96">
            <v>3.8806666666666638</v>
          </cell>
          <cell r="Y96">
            <v>3.8468888888888859</v>
          </cell>
          <cell r="Z96">
            <v>3.813111111111108</v>
          </cell>
          <cell r="AA96">
            <v>3.7793333333333301</v>
          </cell>
          <cell r="AB96">
            <v>3.7455555555555522</v>
          </cell>
          <cell r="AC96">
            <v>3.7117777777777743</v>
          </cell>
          <cell r="AD96">
            <v>3.6779999999999964</v>
          </cell>
          <cell r="AE96">
            <v>3.6442222222222185</v>
          </cell>
          <cell r="AF96">
            <v>3.6104444444444406</v>
          </cell>
          <cell r="AG96">
            <v>3.5766666666666627</v>
          </cell>
          <cell r="AH96">
            <v>3.5428888888888848</v>
          </cell>
          <cell r="AI96">
            <v>3.5091111111111069</v>
          </cell>
          <cell r="AJ96">
            <v>3.4753333333333289</v>
          </cell>
          <cell r="AK96">
            <v>3.441555555555551</v>
          </cell>
          <cell r="AL96">
            <v>3.4077777777777731</v>
          </cell>
          <cell r="AM96">
            <v>3.3739999999999952</v>
          </cell>
          <cell r="AN96">
            <v>3.3402222222222173</v>
          </cell>
          <cell r="AO96">
            <v>3.3064444444444394</v>
          </cell>
          <cell r="AP96">
            <v>3.2726666666666615</v>
          </cell>
          <cell r="AQ96">
            <v>3.2388888888888836</v>
          </cell>
          <cell r="AR96">
            <v>3.2051111111111057</v>
          </cell>
          <cell r="AS96">
            <v>3.1713333333333278</v>
          </cell>
          <cell r="AT96">
            <v>3.1375555555555499</v>
          </cell>
          <cell r="AU96">
            <v>3.103777777777772</v>
          </cell>
          <cell r="AV96">
            <v>3.07</v>
          </cell>
          <cell r="AW96">
            <v>3.0151999999999997</v>
          </cell>
          <cell r="AX96">
            <v>2.9603999999999995</v>
          </cell>
          <cell r="AY96">
            <v>2.9055999999999993</v>
          </cell>
          <cell r="AZ96">
            <v>2.8507999999999991</v>
          </cell>
          <cell r="BA96">
            <v>2.7959999999999989</v>
          </cell>
          <cell r="BB96">
            <v>2.7411999999999987</v>
          </cell>
          <cell r="BC96">
            <v>2.6863999999999986</v>
          </cell>
          <cell r="BD96">
            <v>2.6315999999999984</v>
          </cell>
          <cell r="BE96">
            <v>2.5767999999999982</v>
          </cell>
          <cell r="BF96">
            <v>2.521999999999998</v>
          </cell>
          <cell r="BG96">
            <v>2.4671999999999978</v>
          </cell>
          <cell r="BH96">
            <v>2.4123999999999977</v>
          </cell>
          <cell r="BI96">
            <v>2.3575999999999975</v>
          </cell>
          <cell r="BJ96">
            <v>2.3027999999999973</v>
          </cell>
          <cell r="BK96">
            <v>2.2479999999999971</v>
          </cell>
          <cell r="BL96">
            <v>2.1931999999999969</v>
          </cell>
          <cell r="BM96">
            <v>2.1383999999999967</v>
          </cell>
          <cell r="BN96">
            <v>2.0835999999999966</v>
          </cell>
          <cell r="BO96">
            <v>2.0287999999999964</v>
          </cell>
          <cell r="BP96">
            <v>1.9739999999999964</v>
          </cell>
          <cell r="BQ96">
            <v>1.9191999999999965</v>
          </cell>
          <cell r="BR96">
            <v>1.8643999999999965</v>
          </cell>
          <cell r="BS96">
            <v>1.8095999999999965</v>
          </cell>
          <cell r="BT96">
            <v>1.7547999999999966</v>
          </cell>
          <cell r="BU96">
            <v>1.6999999999999966</v>
          </cell>
          <cell r="BV96">
            <v>1.6451999999999967</v>
          </cell>
          <cell r="BW96">
            <v>1.5903999999999967</v>
          </cell>
          <cell r="BX96">
            <v>1.5355999999999967</v>
          </cell>
          <cell r="BY96">
            <v>1.4807999999999968</v>
          </cell>
          <cell r="BZ96">
            <v>1.4259999999999968</v>
          </cell>
          <cell r="CA96">
            <v>1.3711999999999969</v>
          </cell>
          <cell r="CB96">
            <v>1.3163999999999969</v>
          </cell>
          <cell r="CC96">
            <v>1.2615999999999969</v>
          </cell>
          <cell r="CD96">
            <v>1.206799999999997</v>
          </cell>
          <cell r="CE96">
            <v>1.151999999999997</v>
          </cell>
          <cell r="CF96">
            <v>1.0971999999999971</v>
          </cell>
          <cell r="CG96">
            <v>1.0423999999999971</v>
          </cell>
          <cell r="CH96">
            <v>0.98759999999999715</v>
          </cell>
          <cell r="CI96">
            <v>0.93279999999999719</v>
          </cell>
          <cell r="CJ96">
            <v>0.87799999999999723</v>
          </cell>
          <cell r="CK96">
            <v>0.82319999999999727</v>
          </cell>
          <cell r="CL96">
            <v>0.76839999999999731</v>
          </cell>
          <cell r="CM96">
            <v>0.71359999999999735</v>
          </cell>
          <cell r="CN96">
            <v>0.65879999999999739</v>
          </cell>
          <cell r="CO96">
            <v>0.60399999999999998</v>
          </cell>
          <cell r="CP96">
            <v>0.54635555555555548</v>
          </cell>
          <cell r="CQ96">
            <v>0.48871111111111104</v>
          </cell>
          <cell r="CR96">
            <v>0.4310666666666666</v>
          </cell>
          <cell r="CS96">
            <v>0.37342222222222216</v>
          </cell>
          <cell r="CT96">
            <v>0.31577777777777771</v>
          </cell>
          <cell r="CU96">
            <v>0.25813333333333327</v>
          </cell>
          <cell r="CV96">
            <v>0.20048888888888883</v>
          </cell>
          <cell r="CW96">
            <v>0.14284444444444439</v>
          </cell>
          <cell r="CX96">
            <v>8.5199999999999942E-2</v>
          </cell>
          <cell r="CY96">
            <v>2.75555555555555E-2</v>
          </cell>
          <cell r="CZ96">
            <v>-3.0088888888888943E-2</v>
          </cell>
          <cell r="DA96">
            <v>-8.7733333333333385E-2</v>
          </cell>
          <cell r="DB96">
            <v>-0.14537777777777783</v>
          </cell>
          <cell r="DC96">
            <v>-0.20302222222222227</v>
          </cell>
          <cell r="DD96">
            <v>-0.26066666666666671</v>
          </cell>
          <cell r="DE96">
            <v>-0.31831111111111116</v>
          </cell>
          <cell r="DF96">
            <v>-0.3759555555555556</v>
          </cell>
          <cell r="DG96">
            <v>-0.43360000000000004</v>
          </cell>
          <cell r="DH96">
            <v>-0.49124444444444448</v>
          </cell>
          <cell r="DI96">
            <v>-0.54888888888888898</v>
          </cell>
          <cell r="DJ96">
            <v>-0.60653333333333337</v>
          </cell>
          <cell r="DK96">
            <v>-0.66417777777777776</v>
          </cell>
          <cell r="DL96">
            <v>-0.72182222222222214</v>
          </cell>
          <cell r="DM96">
            <v>-0.77946666666666653</v>
          </cell>
          <cell r="DN96">
            <v>-0.83711111111111092</v>
          </cell>
          <cell r="DO96">
            <v>-0.8947555555555553</v>
          </cell>
          <cell r="DP96">
            <v>-0.95239999999999969</v>
          </cell>
          <cell r="DQ96">
            <v>-1.0100444444444441</v>
          </cell>
          <cell r="DR96">
            <v>-1.0676888888888885</v>
          </cell>
          <cell r="DS96">
            <v>-1.1253333333333329</v>
          </cell>
          <cell r="DT96">
            <v>-1.1829777777777772</v>
          </cell>
          <cell r="DU96">
            <v>-1.2406222222222216</v>
          </cell>
          <cell r="DV96">
            <v>-1.298266666666666</v>
          </cell>
          <cell r="DW96">
            <v>-1.3559111111111104</v>
          </cell>
          <cell r="DX96">
            <v>-1.4135555555555548</v>
          </cell>
          <cell r="DY96">
            <v>-1.4711999999999992</v>
          </cell>
          <cell r="DZ96">
            <v>-1.5288444444444436</v>
          </cell>
          <cell r="EA96">
            <v>-1.5864888888888879</v>
          </cell>
          <cell r="EB96">
            <v>-1.6441333333333323</v>
          </cell>
          <cell r="EC96">
            <v>-1.7017777777777767</v>
          </cell>
          <cell r="ED96">
            <v>-1.7594222222222211</v>
          </cell>
          <cell r="EE96">
            <v>-1.8170666666666655</v>
          </cell>
          <cell r="EF96">
            <v>-1.8747111111111099</v>
          </cell>
          <cell r="EG96">
            <v>-1.9323555555555543</v>
          </cell>
          <cell r="EH96">
            <v>-1.99</v>
          </cell>
          <cell r="EI96">
            <v>-1.9500222222222221</v>
          </cell>
          <cell r="EJ96">
            <v>-1.9100444444444444</v>
          </cell>
          <cell r="EK96">
            <v>-1.8700666666666668</v>
          </cell>
          <cell r="EL96">
            <v>-1.8300888888888891</v>
          </cell>
          <cell r="EM96">
            <v>-1.7901111111111114</v>
          </cell>
          <cell r="EN96">
            <v>-1.7501333333333338</v>
          </cell>
          <cell r="EO96">
            <v>-1.7101555555555561</v>
          </cell>
          <cell r="EP96">
            <v>-1.6701777777777784</v>
          </cell>
          <cell r="EQ96">
            <v>-1.6302000000000008</v>
          </cell>
          <cell r="ER96">
            <v>-1.5902222222222231</v>
          </cell>
          <cell r="ES96">
            <v>-1.5502444444444454</v>
          </cell>
          <cell r="ET96">
            <v>-1.5102666666666678</v>
          </cell>
          <cell r="EU96">
            <v>-1.4702888888888901</v>
          </cell>
          <cell r="EV96">
            <v>-1.4303111111111124</v>
          </cell>
          <cell r="EW96">
            <v>-1.3903333333333348</v>
          </cell>
          <cell r="EX96">
            <v>-1.3503555555555571</v>
          </cell>
          <cell r="EY96">
            <v>-1.3103777777777794</v>
          </cell>
          <cell r="EZ96">
            <v>-1.2704000000000018</v>
          </cell>
          <cell r="FA96">
            <v>-1.2304222222222241</v>
          </cell>
          <cell r="FB96">
            <v>-1.1904444444444464</v>
          </cell>
          <cell r="FC96">
            <v>-1.1504666666666687</v>
          </cell>
          <cell r="FD96">
            <v>-1.1104888888888911</v>
          </cell>
          <cell r="FE96">
            <v>-1.0705111111111134</v>
          </cell>
          <cell r="FF96">
            <v>-1.0305333333333357</v>
          </cell>
          <cell r="FG96">
            <v>-0.99055555555555796</v>
          </cell>
          <cell r="FH96">
            <v>-0.95057777777778019</v>
          </cell>
          <cell r="FI96">
            <v>-0.91060000000000241</v>
          </cell>
          <cell r="FJ96">
            <v>-0.87062222222222463</v>
          </cell>
          <cell r="FK96">
            <v>-0.83064444444444685</v>
          </cell>
          <cell r="FL96">
            <v>-0.79066666666666907</v>
          </cell>
          <cell r="FM96">
            <v>-0.75068888888889129</v>
          </cell>
          <cell r="FN96">
            <v>-0.71071111111111351</v>
          </cell>
          <cell r="FO96">
            <v>-0.67073333333333574</v>
          </cell>
          <cell r="FP96">
            <v>-0.63075555555555796</v>
          </cell>
          <cell r="FQ96">
            <v>-0.59077777777778018</v>
          </cell>
          <cell r="FR96">
            <v>-0.5508000000000024</v>
          </cell>
          <cell r="FS96">
            <v>-0.51082222222222462</v>
          </cell>
          <cell r="FT96">
            <v>-0.47084444444444684</v>
          </cell>
          <cell r="FU96">
            <v>-0.43086666666666906</v>
          </cell>
          <cell r="FV96">
            <v>-0.39088888888889128</v>
          </cell>
          <cell r="FW96">
            <v>-0.35091111111111351</v>
          </cell>
          <cell r="FX96">
            <v>-0.31093333333333573</v>
          </cell>
          <cell r="FY96">
            <v>-0.27095555555555795</v>
          </cell>
          <cell r="FZ96">
            <v>-0.23097777777778017</v>
          </cell>
          <cell r="GA96">
            <v>-0.191</v>
          </cell>
        </row>
        <row r="111">
          <cell r="N111">
            <v>169</v>
          </cell>
          <cell r="P111">
            <v>167</v>
          </cell>
          <cell r="Q111">
            <v>166</v>
          </cell>
          <cell r="R111">
            <v>165</v>
          </cell>
          <cell r="S111">
            <v>164</v>
          </cell>
          <cell r="T111">
            <v>163</v>
          </cell>
          <cell r="U111">
            <v>162</v>
          </cell>
          <cell r="V111">
            <v>161</v>
          </cell>
          <cell r="W111">
            <v>160</v>
          </cell>
          <cell r="X111">
            <v>159</v>
          </cell>
          <cell r="Y111">
            <v>158</v>
          </cell>
          <cell r="Z111">
            <v>157</v>
          </cell>
          <cell r="AA111">
            <v>156</v>
          </cell>
          <cell r="AB111">
            <v>155</v>
          </cell>
          <cell r="AF111">
            <v>151</v>
          </cell>
          <cell r="AH111">
            <v>149</v>
          </cell>
          <cell r="AI111">
            <v>148</v>
          </cell>
          <cell r="AJ111">
            <v>147</v>
          </cell>
          <cell r="AK111">
            <v>146</v>
          </cell>
          <cell r="AL111">
            <v>145</v>
          </cell>
        </row>
        <row r="112">
          <cell r="N112">
            <v>19.911444444444427</v>
          </cell>
          <cell r="P112">
            <v>18.749888888888869</v>
          </cell>
          <cell r="Q112">
            <v>18.169111111111089</v>
          </cell>
          <cell r="R112">
            <v>17.58833333333331</v>
          </cell>
          <cell r="S112">
            <v>17.00755555555553</v>
          </cell>
          <cell r="T112">
            <v>16.426777777777751</v>
          </cell>
          <cell r="U112">
            <v>15.845999999999973</v>
          </cell>
          <cell r="V112">
            <v>15.265222222222196</v>
          </cell>
          <cell r="W112">
            <v>14.684444444444418</v>
          </cell>
          <cell r="X112">
            <v>14.103666666666641</v>
          </cell>
          <cell r="Y112">
            <v>13.522888888888863</v>
          </cell>
          <cell r="Z112">
            <v>12.942111111111085</v>
          </cell>
          <cell r="AA112">
            <v>12.361333333333308</v>
          </cell>
          <cell r="AB112">
            <v>11.78055555555553</v>
          </cell>
          <cell r="AF112">
            <v>9.4574444444444197</v>
          </cell>
          <cell r="AH112">
            <v>8.2958888888888644</v>
          </cell>
          <cell r="AI112">
            <v>7.7151111111110868</v>
          </cell>
          <cell r="AJ112">
            <v>7.1343333333333092</v>
          </cell>
          <cell r="AK112">
            <v>6.5535555555555316</v>
          </cell>
          <cell r="AL112">
            <v>5.972777777777754</v>
          </cell>
        </row>
        <row r="113">
          <cell r="N113">
            <v>-29.988444444444422</v>
          </cell>
          <cell r="P113">
            <v>-28.440888888888868</v>
          </cell>
          <cell r="Q113">
            <v>-27.66711111111109</v>
          </cell>
          <cell r="R113">
            <v>-26.893333333333313</v>
          </cell>
          <cell r="S113">
            <v>-26.119555555555536</v>
          </cell>
          <cell r="T113">
            <v>-25.345777777777759</v>
          </cell>
          <cell r="U113">
            <v>-24.571999999999981</v>
          </cell>
          <cell r="V113">
            <v>-23.798222222222204</v>
          </cell>
          <cell r="W113">
            <v>-23.024444444444427</v>
          </cell>
          <cell r="X113">
            <v>-22.25066666666665</v>
          </cell>
          <cell r="Y113">
            <v>-21.476888888888872</v>
          </cell>
          <cell r="Z113">
            <v>-20.703111111111095</v>
          </cell>
          <cell r="AA113">
            <v>-19.929333333333318</v>
          </cell>
          <cell r="AB113">
            <v>-19.155555555555541</v>
          </cell>
          <cell r="AF113">
            <v>-16.060444444444432</v>
          </cell>
          <cell r="AH113">
            <v>-14.512888888888877</v>
          </cell>
          <cell r="AI113">
            <v>-13.7391111111111</v>
          </cell>
          <cell r="AJ113">
            <v>-12.965333333333323</v>
          </cell>
          <cell r="AK113">
            <v>-12.191555555555546</v>
          </cell>
          <cell r="AL113">
            <v>-11.417777777777768</v>
          </cell>
        </row>
        <row r="114">
          <cell r="N114">
            <v>11.915555555555555</v>
          </cell>
          <cell r="P114">
            <v>11.39111111111111</v>
          </cell>
          <cell r="Q114">
            <v>11.128888888888888</v>
          </cell>
          <cell r="R114">
            <v>10.866666666666665</v>
          </cell>
          <cell r="S114">
            <v>10.604444444444443</v>
          </cell>
          <cell r="T114">
            <v>10.342222222222221</v>
          </cell>
          <cell r="U114">
            <v>10.079999999999998</v>
          </cell>
          <cell r="V114">
            <v>9.8177777777777759</v>
          </cell>
          <cell r="W114">
            <v>9.5555555555555536</v>
          </cell>
          <cell r="X114">
            <v>9.2933333333333312</v>
          </cell>
          <cell r="Y114">
            <v>9.0311111111111089</v>
          </cell>
          <cell r="Z114">
            <v>8.7688888888888865</v>
          </cell>
          <cell r="AA114">
            <v>8.5066666666666642</v>
          </cell>
          <cell r="AB114">
            <v>8.2444444444444418</v>
          </cell>
          <cell r="AF114">
            <v>7.1955555555555524</v>
          </cell>
          <cell r="AH114">
            <v>6.6711111111111077</v>
          </cell>
          <cell r="AI114">
            <v>6.4088888888888853</v>
          </cell>
          <cell r="AJ114">
            <v>6.1466666666666629</v>
          </cell>
          <cell r="AK114">
            <v>5.8844444444444406</v>
          </cell>
          <cell r="AL114">
            <v>5.6222222222222182</v>
          </cell>
        </row>
        <row r="115">
          <cell r="N115">
            <v>-10.907111111111108</v>
          </cell>
          <cell r="P115">
            <v>-9.8902222222222189</v>
          </cell>
          <cell r="Q115">
            <v>-9.3817777777777742</v>
          </cell>
          <cell r="R115">
            <v>-8.8733333333333295</v>
          </cell>
          <cell r="S115">
            <v>-8.3648888888888848</v>
          </cell>
          <cell r="T115">
            <v>-7.8564444444444401</v>
          </cell>
          <cell r="U115">
            <v>-7.3479999999999954</v>
          </cell>
          <cell r="V115">
            <v>-6.8395555555555507</v>
          </cell>
          <cell r="W115">
            <v>-6.331111111111106</v>
          </cell>
          <cell r="X115">
            <v>-5.8226666666666613</v>
          </cell>
          <cell r="Y115">
            <v>-5.3142222222222166</v>
          </cell>
          <cell r="Z115">
            <v>-4.8057777777777719</v>
          </cell>
          <cell r="AA115">
            <v>-4.2973333333333272</v>
          </cell>
          <cell r="AB115">
            <v>-3.7888888888888825</v>
          </cell>
          <cell r="AF115">
            <v>-1.755111111111104</v>
          </cell>
          <cell r="AH115">
            <v>-0.73822222222221501</v>
          </cell>
          <cell r="AI115">
            <v>-0.22977777777777053</v>
          </cell>
          <cell r="AJ115">
            <v>0.27866666666667395</v>
          </cell>
          <cell r="AK115">
            <v>0.78711111111111842</v>
          </cell>
          <cell r="AL115">
            <v>1.2955555555555629</v>
          </cell>
        </row>
        <row r="116">
          <cell r="N116">
            <v>19.519333333333321</v>
          </cell>
          <cell r="P116">
            <v>18.104666666666652</v>
          </cell>
          <cell r="Q116">
            <v>17.397333333333318</v>
          </cell>
          <cell r="R116">
            <v>16.689999999999984</v>
          </cell>
          <cell r="S116">
            <v>15.982666666666651</v>
          </cell>
          <cell r="T116">
            <v>15.275333333333318</v>
          </cell>
          <cell r="U116">
            <v>14.567999999999985</v>
          </cell>
          <cell r="V116">
            <v>13.860666666666653</v>
          </cell>
          <cell r="W116">
            <v>13.15333333333332</v>
          </cell>
          <cell r="X116">
            <v>12.445999999999987</v>
          </cell>
          <cell r="Y116">
            <v>11.738666666666655</v>
          </cell>
          <cell r="Z116">
            <v>11.031333333333322</v>
          </cell>
          <cell r="AA116">
            <v>10.323999999999989</v>
          </cell>
          <cell r="AB116">
            <v>9.6166666666666565</v>
          </cell>
          <cell r="AF116">
            <v>6.7873333333333239</v>
          </cell>
          <cell r="AH116">
            <v>5.3726666666666567</v>
          </cell>
          <cell r="AI116">
            <v>4.6653333333333231</v>
          </cell>
          <cell r="AJ116">
            <v>3.9579999999999895</v>
          </cell>
          <cell r="AK116">
            <v>3.2506666666666559</v>
          </cell>
          <cell r="AL116">
            <v>2.5433333333333223</v>
          </cell>
        </row>
        <row r="117">
          <cell r="N117">
            <v>-9.0901111111111099</v>
          </cell>
          <cell r="P117">
            <v>-8.5792222222222208</v>
          </cell>
          <cell r="Q117">
            <v>-8.3237777777777762</v>
          </cell>
          <cell r="R117">
            <v>-8.0683333333333316</v>
          </cell>
          <cell r="S117">
            <v>-7.812888888888887</v>
          </cell>
          <cell r="T117">
            <v>-7.5574444444444424</v>
          </cell>
          <cell r="U117">
            <v>-7.3019999999999978</v>
          </cell>
          <cell r="V117">
            <v>-7.0465555555555532</v>
          </cell>
          <cell r="W117">
            <v>-6.7911111111111087</v>
          </cell>
          <cell r="X117">
            <v>-6.5356666666666641</v>
          </cell>
          <cell r="Y117">
            <v>-6.2802222222222195</v>
          </cell>
          <cell r="Z117">
            <v>-6.0247777777777749</v>
          </cell>
          <cell r="AA117">
            <v>-5.7693333333333303</v>
          </cell>
          <cell r="AB117">
            <v>-5.5138888888888857</v>
          </cell>
          <cell r="AF117">
            <v>-4.4921111111111074</v>
          </cell>
          <cell r="AH117">
            <v>-3.9812222222222182</v>
          </cell>
          <cell r="AI117">
            <v>-3.7257777777777736</v>
          </cell>
          <cell r="AJ117">
            <v>-3.4703333333333291</v>
          </cell>
          <cell r="AK117">
            <v>-3.2148888888888845</v>
          </cell>
          <cell r="AL117">
            <v>-2.9594444444444399</v>
          </cell>
        </row>
        <row r="118">
          <cell r="N118">
            <v>-1.871555555555555</v>
          </cell>
          <cell r="P118">
            <v>-2.0191111111111106</v>
          </cell>
          <cell r="Q118">
            <v>-2.0928888888888886</v>
          </cell>
          <cell r="R118">
            <v>-2.1666666666666665</v>
          </cell>
          <cell r="S118">
            <v>-2.2404444444444445</v>
          </cell>
          <cell r="T118">
            <v>-2.3142222222222224</v>
          </cell>
          <cell r="U118">
            <v>-2.3880000000000003</v>
          </cell>
          <cell r="V118">
            <v>-2.4617777777777783</v>
          </cell>
          <cell r="W118">
            <v>-2.5355555555555562</v>
          </cell>
          <cell r="X118">
            <v>-2.6093333333333342</v>
          </cell>
          <cell r="Y118">
            <v>-2.6831111111111121</v>
          </cell>
          <cell r="Z118">
            <v>-2.7568888888888901</v>
          </cell>
          <cell r="AA118">
            <v>-2.830666666666668</v>
          </cell>
          <cell r="AB118">
            <v>-2.9044444444444459</v>
          </cell>
          <cell r="AF118">
            <v>-3.1995555555555577</v>
          </cell>
          <cell r="AH118">
            <v>-3.3471111111111136</v>
          </cell>
          <cell r="AI118">
            <v>-3.4208888888888915</v>
          </cell>
          <cell r="AJ118">
            <v>-3.4946666666666695</v>
          </cell>
          <cell r="AK118">
            <v>-3.5684444444444474</v>
          </cell>
          <cell r="AL118">
            <v>-3.6422222222222254</v>
          </cell>
        </row>
        <row r="119">
          <cell r="N119">
            <v>1.2612177777777775</v>
          </cell>
          <cell r="P119">
            <v>1.4746755555555553</v>
          </cell>
          <cell r="Q119">
            <v>1.5814044444444442</v>
          </cell>
          <cell r="R119">
            <v>1.688133333333333</v>
          </cell>
          <cell r="S119">
            <v>1.7948622222222219</v>
          </cell>
          <cell r="T119">
            <v>1.9015911111111108</v>
          </cell>
          <cell r="U119">
            <v>2.0083199999999994</v>
          </cell>
          <cell r="V119">
            <v>2.1150488888888885</v>
          </cell>
          <cell r="W119">
            <v>2.2217777777777776</v>
          </cell>
          <cell r="X119">
            <v>2.3285066666666667</v>
          </cell>
          <cell r="Y119">
            <v>2.4352355555555558</v>
          </cell>
          <cell r="Z119">
            <v>2.5419644444444449</v>
          </cell>
          <cell r="AA119">
            <v>2.648693333333334</v>
          </cell>
          <cell r="AB119">
            <v>2.7554222222222231</v>
          </cell>
          <cell r="AF119">
            <v>3.1823377777777795</v>
          </cell>
          <cell r="AH119">
            <v>3.3957955555555577</v>
          </cell>
          <cell r="AI119">
            <v>3.5025244444444468</v>
          </cell>
          <cell r="AJ119">
            <v>3.6092533333333359</v>
          </cell>
          <cell r="AK119">
            <v>3.715982222222225</v>
          </cell>
          <cell r="AL119">
            <v>3.8227111111111141</v>
          </cell>
        </row>
        <row r="120">
          <cell r="N120">
            <v>-0.63075555555555562</v>
          </cell>
          <cell r="P120">
            <v>-0.71071111111111118</v>
          </cell>
          <cell r="Q120">
            <v>-0.75068888888888896</v>
          </cell>
          <cell r="R120">
            <v>-0.79066666666666674</v>
          </cell>
          <cell r="S120">
            <v>-0.83064444444444452</v>
          </cell>
          <cell r="T120">
            <v>-0.8706222222222223</v>
          </cell>
          <cell r="U120">
            <v>-0.91060000000000008</v>
          </cell>
          <cell r="V120">
            <v>-0.95057777777777785</v>
          </cell>
          <cell r="W120">
            <v>-0.99055555555555563</v>
          </cell>
          <cell r="X120">
            <v>-1.0305333333333335</v>
          </cell>
          <cell r="Y120">
            <v>-1.0705111111111112</v>
          </cell>
          <cell r="Z120">
            <v>-1.1104888888888889</v>
          </cell>
          <cell r="AA120">
            <v>-1.1504666666666665</v>
          </cell>
          <cell r="AB120">
            <v>-1.1904444444444442</v>
          </cell>
          <cell r="AF120">
            <v>-1.3503555555555549</v>
          </cell>
          <cell r="AH120">
            <v>-1.4303111111111102</v>
          </cell>
          <cell r="AI120">
            <v>-1.4702888888888879</v>
          </cell>
          <cell r="AJ120">
            <v>-1.5102666666666655</v>
          </cell>
          <cell r="AK120">
            <v>-1.5502444444444432</v>
          </cell>
          <cell r="AL120">
            <v>-1.5902222222222209</v>
          </cell>
        </row>
        <row r="123">
          <cell r="N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F123">
            <v>0</v>
          </cell>
          <cell r="AH123">
            <v>0</v>
          </cell>
          <cell r="AI123">
            <v>0</v>
          </cell>
          <cell r="AJ123">
            <v>0</v>
          </cell>
          <cell r="AK123">
            <v>0</v>
          </cell>
          <cell r="AL123">
            <v>0</v>
          </cell>
        </row>
        <row r="124">
          <cell r="N124">
            <v>0.16017777777777908</v>
          </cell>
          <cell r="P124">
            <v>0.15075555555555686</v>
          </cell>
          <cell r="Q124">
            <v>0.14604444444444575</v>
          </cell>
          <cell r="R124">
            <v>0.14133333333333464</v>
          </cell>
          <cell r="S124">
            <v>0.13662222222222364</v>
          </cell>
          <cell r="T124">
            <v>0.13191111111111264</v>
          </cell>
          <cell r="U124">
            <v>0.12720000000000153</v>
          </cell>
          <cell r="V124">
            <v>0.12248888888889042</v>
          </cell>
          <cell r="W124">
            <v>0.11777777777777931</v>
          </cell>
          <cell r="X124">
            <v>0.1130666666666682</v>
          </cell>
          <cell r="Y124">
            <v>0.10835555555555709</v>
          </cell>
          <cell r="Z124">
            <v>0.10364444444444598</v>
          </cell>
          <cell r="AA124">
            <v>9.8933333333334872E-2</v>
          </cell>
          <cell r="AB124">
            <v>9.4222222222223762E-2</v>
          </cell>
          <cell r="AF124">
            <v>7.537777777777932E-2</v>
          </cell>
          <cell r="AH124">
            <v>6.5955555555557099E-2</v>
          </cell>
          <cell r="AI124">
            <v>6.1244444444445989E-2</v>
          </cell>
          <cell r="AJ124">
            <v>5.6533333333334657E-2</v>
          </cell>
          <cell r="AK124">
            <v>5.1822222222223324E-2</v>
          </cell>
          <cell r="AL124">
            <v>4.7111111111111992E-2</v>
          </cell>
        </row>
        <row r="125">
          <cell r="N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F125">
            <v>0</v>
          </cell>
          <cell r="AH125">
            <v>0</v>
          </cell>
          <cell r="AI125">
            <v>0</v>
          </cell>
          <cell r="AJ125">
            <v>0</v>
          </cell>
          <cell r="AK125">
            <v>0</v>
          </cell>
          <cell r="AL125">
            <v>0</v>
          </cell>
        </row>
        <row r="126">
          <cell r="N126">
            <v>-1.1546319456101628E-14</v>
          </cell>
          <cell r="P126">
            <v>-1.1546319456101628E-14</v>
          </cell>
          <cell r="Q126">
            <v>-1.1546319456101628E-14</v>
          </cell>
          <cell r="R126">
            <v>-1.1546319456101628E-14</v>
          </cell>
          <cell r="S126">
            <v>-1.1546319456101628E-14</v>
          </cell>
          <cell r="T126">
            <v>-1.1546319456101628E-14</v>
          </cell>
          <cell r="U126">
            <v>-1.1546319456101628E-14</v>
          </cell>
          <cell r="V126">
            <v>-1.1546319456101628E-14</v>
          </cell>
          <cell r="W126">
            <v>-1.1546319456101628E-14</v>
          </cell>
          <cell r="X126">
            <v>-1.1546319456101628E-14</v>
          </cell>
          <cell r="Y126">
            <v>-1.1546319456101628E-14</v>
          </cell>
          <cell r="Z126">
            <v>-1.1546319456101628E-14</v>
          </cell>
          <cell r="AA126">
            <v>-1.1546319456101628E-14</v>
          </cell>
          <cell r="AB126">
            <v>-1.1546319456101628E-14</v>
          </cell>
          <cell r="AF126">
            <v>-1.1546319456101628E-14</v>
          </cell>
          <cell r="AH126">
            <v>-1.1546319456101628E-14</v>
          </cell>
          <cell r="AI126">
            <v>-1.1546319456101628E-14</v>
          </cell>
          <cell r="AJ126">
            <v>-1.1546319456101628E-14</v>
          </cell>
          <cell r="AK126">
            <v>-1.1546319456101628E-14</v>
          </cell>
          <cell r="AL126">
            <v>-1.1546319456101628E-14</v>
          </cell>
        </row>
        <row r="127">
          <cell r="N127">
            <v>-2.2204460492503131E-15</v>
          </cell>
          <cell r="P127">
            <v>-2.2204460492503131E-15</v>
          </cell>
          <cell r="Q127">
            <v>-2.2204460492503131E-15</v>
          </cell>
          <cell r="R127">
            <v>-2.2204460492503131E-15</v>
          </cell>
          <cell r="S127">
            <v>-2.2204460492503131E-15</v>
          </cell>
          <cell r="T127">
            <v>-2.2204460492503131E-15</v>
          </cell>
          <cell r="U127">
            <v>-2.2204460492503131E-15</v>
          </cell>
          <cell r="V127">
            <v>-2.2204460492503131E-15</v>
          </cell>
          <cell r="W127">
            <v>-2.2204460492503131E-15</v>
          </cell>
          <cell r="X127">
            <v>-2.2204460492503131E-15</v>
          </cell>
          <cell r="Y127">
            <v>-2.2204460492503131E-15</v>
          </cell>
          <cell r="Z127">
            <v>-2.2204460492503131E-15</v>
          </cell>
          <cell r="AA127">
            <v>0</v>
          </cell>
          <cell r="AB127">
            <v>0</v>
          </cell>
          <cell r="AF127">
            <v>0</v>
          </cell>
          <cell r="AH127">
            <v>0</v>
          </cell>
          <cell r="AI127">
            <v>0</v>
          </cell>
          <cell r="AJ127">
            <v>0</v>
          </cell>
          <cell r="AK127">
            <v>0</v>
          </cell>
          <cell r="AL127">
            <v>0</v>
          </cell>
        </row>
        <row r="128">
          <cell r="N128">
            <v>-1.5987211554602254E-14</v>
          </cell>
          <cell r="P128">
            <v>-1.5987211554602254E-14</v>
          </cell>
          <cell r="Q128">
            <v>-1.5987211554602254E-14</v>
          </cell>
          <cell r="R128">
            <v>-1.5987211554602254E-14</v>
          </cell>
          <cell r="S128">
            <v>-1.5987211554602254E-14</v>
          </cell>
          <cell r="T128">
            <v>-1.5987211554602254E-14</v>
          </cell>
          <cell r="U128">
            <v>-1.5987211554602254E-14</v>
          </cell>
          <cell r="V128">
            <v>-1.5987211554602254E-14</v>
          </cell>
          <cell r="W128">
            <v>-1.5987211554602254E-14</v>
          </cell>
          <cell r="X128">
            <v>-1.5987211554602254E-14</v>
          </cell>
          <cell r="Y128">
            <v>-1.5987211554602254E-14</v>
          </cell>
          <cell r="Z128">
            <v>-1.5987211554602254E-14</v>
          </cell>
          <cell r="AA128">
            <v>-1.5987211554602254E-14</v>
          </cell>
          <cell r="AB128">
            <v>-1.5987211554602254E-14</v>
          </cell>
          <cell r="AF128">
            <v>-1.5987211554602254E-14</v>
          </cell>
          <cell r="AH128">
            <v>-1.5987211554602254E-14</v>
          </cell>
          <cell r="AI128">
            <v>-1.5987211554602254E-14</v>
          </cell>
          <cell r="AJ128">
            <v>-1.5987211554602254E-14</v>
          </cell>
          <cell r="AK128">
            <v>-1.5987211554602254E-14</v>
          </cell>
          <cell r="AL128">
            <v>-1.5987211554602254E-14</v>
          </cell>
        </row>
        <row r="129">
          <cell r="N129">
            <v>5.3290705182007514E-15</v>
          </cell>
          <cell r="P129">
            <v>5.3290705182007514E-15</v>
          </cell>
          <cell r="Q129">
            <v>5.3290705182007514E-15</v>
          </cell>
          <cell r="R129">
            <v>5.3290705182007514E-15</v>
          </cell>
          <cell r="S129">
            <v>5.3290705182007514E-15</v>
          </cell>
          <cell r="T129">
            <v>5.3290705182007514E-15</v>
          </cell>
          <cell r="U129">
            <v>5.3290705182007514E-15</v>
          </cell>
          <cell r="V129">
            <v>5.3290705182007514E-15</v>
          </cell>
          <cell r="W129">
            <v>5.3290705182007514E-15</v>
          </cell>
          <cell r="X129">
            <v>5.3290705182007514E-15</v>
          </cell>
          <cell r="Y129">
            <v>5.3290705182007514E-15</v>
          </cell>
          <cell r="Z129">
            <v>5.3290705182007514E-15</v>
          </cell>
          <cell r="AA129">
            <v>5.3290705182007514E-15</v>
          </cell>
          <cell r="AB129">
            <v>5.3290705182007514E-15</v>
          </cell>
          <cell r="AF129">
            <v>5.3290705182007514E-15</v>
          </cell>
          <cell r="AH129">
            <v>5.3290705182007514E-15</v>
          </cell>
          <cell r="AI129">
            <v>5.3290705182007514E-15</v>
          </cell>
          <cell r="AJ129">
            <v>5.3290705182007514E-15</v>
          </cell>
          <cell r="AK129">
            <v>5.3290705182007514E-15</v>
          </cell>
          <cell r="AL129">
            <v>5.3290705182007514E-15</v>
          </cell>
        </row>
        <row r="130">
          <cell r="N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F130">
            <v>0</v>
          </cell>
          <cell r="AH130">
            <v>7.7715611723760958E-16</v>
          </cell>
          <cell r="AI130">
            <v>7.7715611723760958E-16</v>
          </cell>
          <cell r="AJ130">
            <v>7.7715611723760958E-16</v>
          </cell>
          <cell r="AK130">
            <v>7.7715611723760958E-16</v>
          </cell>
          <cell r="AL130">
            <v>7.7715611723760958E-16</v>
          </cell>
        </row>
        <row r="131">
          <cell r="N131">
            <v>0</v>
          </cell>
          <cell r="P131">
            <v>0</v>
          </cell>
          <cell r="Q131">
            <v>0</v>
          </cell>
          <cell r="R131">
            <v>0</v>
          </cell>
          <cell r="S131">
            <v>0</v>
          </cell>
          <cell r="T131">
            <v>0</v>
          </cell>
          <cell r="U131">
            <v>5.773159728050814E-15</v>
          </cell>
          <cell r="V131">
            <v>5.773159728050814E-15</v>
          </cell>
          <cell r="W131">
            <v>5.773159728050814E-15</v>
          </cell>
          <cell r="X131">
            <v>5.773159728050814E-15</v>
          </cell>
          <cell r="Y131">
            <v>5.773159728050814E-15</v>
          </cell>
          <cell r="Z131">
            <v>5.773159728050814E-15</v>
          </cell>
          <cell r="AA131">
            <v>5.773159728050814E-15</v>
          </cell>
          <cell r="AB131">
            <v>5.773159728050814E-15</v>
          </cell>
          <cell r="AF131">
            <v>5.773159728050814E-15</v>
          </cell>
          <cell r="AH131">
            <v>5.773159728050814E-15</v>
          </cell>
          <cell r="AI131">
            <v>5.773159728050814E-15</v>
          </cell>
          <cell r="AJ131">
            <v>5.773159728050814E-15</v>
          </cell>
          <cell r="AK131">
            <v>5.773159728050814E-15</v>
          </cell>
          <cell r="AL131">
            <v>5.773159728050814E-15</v>
          </cell>
        </row>
        <row r="134">
          <cell r="N134">
            <v>0.77377777777777723</v>
          </cell>
          <cell r="P134">
            <v>0.77377777777777723</v>
          </cell>
          <cell r="Q134">
            <v>0.77377777777777723</v>
          </cell>
          <cell r="R134">
            <v>0.77377777777777723</v>
          </cell>
          <cell r="S134">
            <v>0.77377777777777723</v>
          </cell>
          <cell r="T134">
            <v>0.77377777777777723</v>
          </cell>
          <cell r="U134">
            <v>0.77377777777777723</v>
          </cell>
          <cell r="V134">
            <v>0.77377777777777723</v>
          </cell>
          <cell r="W134">
            <v>0.77377777777777723</v>
          </cell>
          <cell r="X134">
            <v>0.77377777777777723</v>
          </cell>
          <cell r="Y134">
            <v>0.77377777777777723</v>
          </cell>
          <cell r="Z134">
            <v>0.77377777777777723</v>
          </cell>
          <cell r="AA134">
            <v>0.77377777777777723</v>
          </cell>
          <cell r="AB134">
            <v>0.77377777777777723</v>
          </cell>
          <cell r="AF134">
            <v>0.77377777777777723</v>
          </cell>
          <cell r="AH134">
            <v>0.77377777777777723</v>
          </cell>
          <cell r="AI134">
            <v>0.77377777777777723</v>
          </cell>
          <cell r="AJ134">
            <v>0.77377777777777723</v>
          </cell>
          <cell r="AK134">
            <v>0.77377777777777723</v>
          </cell>
          <cell r="AL134">
            <v>0.77377777777777723</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
      <sheetName val="Code"/>
      <sheetName val="Proj"/>
      <sheetName val="Dim"/>
      <sheetName val="Vent"/>
      <sheetName val="Win"/>
      <sheetName val="Fab"/>
      <sheetName val="WH"/>
      <sheetName val="Light"/>
      <sheetName val="HtUse"/>
      <sheetName val="SH"/>
      <sheetName val="ER1"/>
      <sheetName val="ER2"/>
      <sheetName val="Result"/>
      <sheetName val="RER"/>
      <sheetName val="Fuel"/>
      <sheetName val="SWH"/>
      <sheetName val="Summer"/>
      <sheetName val="HP"/>
      <sheetName val="Heating Calc"/>
      <sheetName val="DHW Calc"/>
      <sheetName val="Meteorological data"/>
      <sheetName val="Rpt"/>
      <sheetName val="Sheet1"/>
    </sheetNames>
    <sheetDataSet>
      <sheetData sheetId="0" refreshError="1"/>
      <sheetData sheetId="1" refreshError="1"/>
      <sheetData sheetId="2" refreshError="1"/>
      <sheetData sheetId="3">
        <row r="9">
          <cell r="D9">
            <v>100</v>
          </cell>
        </row>
        <row r="10">
          <cell r="F10">
            <v>250</v>
          </cell>
        </row>
      </sheetData>
      <sheetData sheetId="4" refreshError="1"/>
      <sheetData sheetId="5" refreshError="1"/>
      <sheetData sheetId="6">
        <row r="27">
          <cell r="F27">
            <v>147.07499999999999</v>
          </cell>
          <cell r="P27">
            <v>97.659321488970591</v>
          </cell>
        </row>
        <row r="28">
          <cell r="F28">
            <v>1.4707499999999998</v>
          </cell>
        </row>
      </sheetData>
      <sheetData sheetId="7">
        <row r="2">
          <cell r="F2">
            <v>2.7395258750760672</v>
          </cell>
        </row>
        <row r="58">
          <cell r="G58">
            <v>0</v>
          </cell>
        </row>
        <row r="100">
          <cell r="F100">
            <v>2605.4314793487897</v>
          </cell>
        </row>
        <row r="101">
          <cell r="F101">
            <v>0</v>
          </cell>
        </row>
        <row r="103">
          <cell r="F103">
            <v>98.893375215008291</v>
          </cell>
        </row>
      </sheetData>
      <sheetData sheetId="8" refreshError="1"/>
      <sheetData sheetId="9">
        <row r="21">
          <cell r="H21">
            <v>7.625</v>
          </cell>
        </row>
        <row r="57">
          <cell r="F57">
            <v>5156.0707205999379</v>
          </cell>
        </row>
        <row r="89">
          <cell r="E89">
            <v>243</v>
          </cell>
        </row>
      </sheetData>
      <sheetData sheetId="10">
        <row r="6">
          <cell r="H6">
            <v>1</v>
          </cell>
        </row>
        <row r="9">
          <cell r="H9">
            <v>0</v>
          </cell>
        </row>
        <row r="37">
          <cell r="K37">
            <v>5843.6075555649704</v>
          </cell>
        </row>
      </sheetData>
      <sheetData sheetId="11" refreshError="1"/>
      <sheetData sheetId="12" refreshError="1"/>
      <sheetData sheetId="13" refreshError="1"/>
      <sheetData sheetId="14" refreshError="1"/>
      <sheetData sheetId="15">
        <row r="4">
          <cell r="C4" t="str">
            <v>mains gas</v>
          </cell>
          <cell r="G4">
            <v>1.1000000000000001</v>
          </cell>
          <cell r="H4">
            <v>0.20300000000000001</v>
          </cell>
        </row>
        <row r="5">
          <cell r="C5" t="str">
            <v>bulk LPG (propane or butane)</v>
          </cell>
          <cell r="G5">
            <v>1.1000000000000001</v>
          </cell>
          <cell r="H5">
            <v>0.23200000000000001</v>
          </cell>
        </row>
        <row r="6">
          <cell r="C6" t="str">
            <v>bottled LPG</v>
          </cell>
          <cell r="G6">
            <v>1.1000000000000001</v>
          </cell>
          <cell r="H6">
            <v>0.23200000000000001</v>
          </cell>
        </row>
        <row r="7">
          <cell r="C7" t="str">
            <v>heating oil</v>
          </cell>
          <cell r="G7">
            <v>1.1000000000000001</v>
          </cell>
          <cell r="H7">
            <v>0.27200000000000002</v>
          </cell>
        </row>
        <row r="8">
          <cell r="C8" t="str">
            <v>house coal</v>
          </cell>
          <cell r="G8">
            <v>1.1000000000000001</v>
          </cell>
          <cell r="H8">
            <v>0.36099999999999999</v>
          </cell>
        </row>
        <row r="9">
          <cell r="C9" t="str">
            <v>anthracite</v>
          </cell>
          <cell r="G9">
            <v>1.1000000000000001</v>
          </cell>
          <cell r="H9">
            <v>0.36099999999999999</v>
          </cell>
        </row>
        <row r="10">
          <cell r="C10" t="str">
            <v>manufactured smokeless fuel</v>
          </cell>
          <cell r="G10">
            <v>1.2</v>
          </cell>
          <cell r="H10">
            <v>0.39200000000000002</v>
          </cell>
        </row>
        <row r="11">
          <cell r="C11" t="str">
            <v>peat briquettes</v>
          </cell>
          <cell r="G11">
            <v>1.1000000000000001</v>
          </cell>
          <cell r="H11">
            <v>0.377</v>
          </cell>
        </row>
        <row r="12">
          <cell r="C12" t="str">
            <v>sod peat</v>
          </cell>
          <cell r="G12">
            <v>1.1000000000000001</v>
          </cell>
          <cell r="H12">
            <v>0.375</v>
          </cell>
        </row>
        <row r="13">
          <cell r="C13" t="str">
            <v>wood logs</v>
          </cell>
          <cell r="G13">
            <v>1.1000000000000001</v>
          </cell>
          <cell r="H13">
            <v>2.5000000000000001E-2</v>
          </cell>
        </row>
        <row r="14">
          <cell r="C14" t="str">
            <v>wood pellets - in bags, for sec. htg</v>
          </cell>
          <cell r="G14">
            <v>1.1000000000000001</v>
          </cell>
          <cell r="H14">
            <v>2.5000000000000001E-2</v>
          </cell>
        </row>
        <row r="15">
          <cell r="C15" t="str">
            <v>wood pellets - bulk supply, for main htg</v>
          </cell>
          <cell r="G15">
            <v>1.1000000000000001</v>
          </cell>
          <cell r="H15">
            <v>2.5000000000000001E-2</v>
          </cell>
        </row>
        <row r="16">
          <cell r="C16" t="str">
            <v>wood chips</v>
          </cell>
          <cell r="G16">
            <v>1.1000000000000001</v>
          </cell>
          <cell r="H16">
            <v>2.5000000000000001E-2</v>
          </cell>
        </row>
        <row r="17">
          <cell r="C17" t="str">
            <v>solid multi-fuel</v>
          </cell>
          <cell r="G17">
            <v>1.1000000000000001</v>
          </cell>
          <cell r="H17">
            <v>0.36899999999999999</v>
          </cell>
        </row>
        <row r="18">
          <cell r="C18" t="str">
            <v>electricity</v>
          </cell>
          <cell r="G18">
            <v>2.08</v>
          </cell>
          <cell r="H18">
            <v>0.40899999999999997</v>
          </cell>
        </row>
        <row r="19">
          <cell r="C19" t="str">
            <v>electricity sold to or displaced from grid</v>
          </cell>
          <cell r="G19">
            <v>2.08</v>
          </cell>
          <cell r="H19">
            <v>0.40899999999999997</v>
          </cell>
        </row>
        <row r="20">
          <cell r="C20" t="str">
            <v>waste combustion</v>
          </cell>
          <cell r="G20">
            <v>1.1000000000000001</v>
          </cell>
          <cell r="H20">
            <v>5.7000000000000002E-2</v>
          </cell>
        </row>
        <row r="21">
          <cell r="C21" t="str">
            <v>biomass or biogas</v>
          </cell>
          <cell r="G21">
            <v>1.1000000000000001</v>
          </cell>
          <cell r="H21">
            <v>2.5000000000000001E-2</v>
          </cell>
        </row>
        <row r="22">
          <cell r="C22" t="str">
            <v>waste heat from power stations</v>
          </cell>
          <cell r="G22">
            <v>1.05</v>
          </cell>
          <cell r="H22">
            <v>1.7999999999999999E-2</v>
          </cell>
        </row>
        <row r="23">
          <cell r="C23" t="str">
            <v>-</v>
          </cell>
          <cell r="G23">
            <v>0</v>
          </cell>
          <cell r="H23">
            <v>0</v>
          </cell>
        </row>
        <row r="24">
          <cell r="C24" t="str">
            <v>Biodiesel from renewable sources only</v>
          </cell>
          <cell r="G24">
            <v>1.3</v>
          </cell>
          <cell r="H24">
            <v>4.7E-2</v>
          </cell>
        </row>
        <row r="25">
          <cell r="C25" t="str">
            <v>Bioethanol from renewable sources only</v>
          </cell>
          <cell r="G25">
            <v>1.34</v>
          </cell>
          <cell r="H25">
            <v>6.4000000000000001E-2</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 Characteristics"/>
      <sheetName val="Climate Data"/>
      <sheetName val="Energy"/>
      <sheetName val="Sheet1"/>
      <sheetName val="Back-up Energy"/>
      <sheetName val="HC_COP"/>
      <sheetName val="LA12MI EN14511 results vs. SAPQ"/>
      <sheetName val="LA12MI Comparison"/>
      <sheetName val="Bin Capacity comparison"/>
      <sheetName val="Mich's detailed Bin"/>
      <sheetName val="Sheet3"/>
      <sheetName val="HEAT PUMP"/>
      <sheetName val="MIT"/>
      <sheetName val="HP MIT"/>
    </sheetNames>
    <sheetDataSet>
      <sheetData sheetId="0" refreshError="1"/>
      <sheetData sheetId="1">
        <row r="14">
          <cell r="D14">
            <v>12294.022706307569</v>
          </cell>
        </row>
        <row r="15">
          <cell r="D15">
            <v>2124.0972222222226</v>
          </cell>
        </row>
        <row r="19">
          <cell r="E19">
            <v>-5</v>
          </cell>
        </row>
      </sheetData>
      <sheetData sheetId="2"/>
      <sheetData sheetId="3"/>
      <sheetData sheetId="4"/>
      <sheetData sheetId="5"/>
      <sheetData sheetId="6" refreshError="1"/>
      <sheetData sheetId="7" refreshError="1"/>
      <sheetData sheetId="8" refreshError="1"/>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t Pump Tool"/>
      <sheetName val="Zone1"/>
      <sheetName val="Scope"/>
      <sheetName val="ErP Inputs"/>
      <sheetName val="LOW SCOP"/>
      <sheetName val="MEDIUM SCOP"/>
      <sheetName val="HIGH SCOP"/>
      <sheetName val="VERY HIGH SCOP"/>
      <sheetName val="Version Control"/>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2">
    <pageSetUpPr fitToPage="1"/>
  </sheetPr>
  <dimension ref="B4:T41"/>
  <sheetViews>
    <sheetView tabSelected="1" workbookViewId="0">
      <selection activeCell="E13" sqref="E13"/>
    </sheetView>
  </sheetViews>
  <sheetFormatPr defaultColWidth="9.140625" defaultRowHeight="12.75"/>
  <cols>
    <col min="1" max="1" width="7.28515625" style="23" customWidth="1"/>
    <col min="2" max="2" width="10.140625" style="23" customWidth="1"/>
    <col min="3" max="3" width="10.7109375" style="23" customWidth="1"/>
    <col min="4" max="5" width="9.140625" style="23"/>
    <col min="6" max="7" width="30.42578125" style="23" customWidth="1"/>
    <col min="8" max="16384" width="9.140625" style="23"/>
  </cols>
  <sheetData>
    <row r="4" spans="3:13" ht="21.75" customHeight="1">
      <c r="C4" s="24"/>
      <c r="D4" s="24"/>
      <c r="E4" s="24"/>
      <c r="F4" s="24"/>
      <c r="H4" s="24"/>
      <c r="I4" s="24"/>
      <c r="J4" s="24"/>
      <c r="K4" s="24"/>
      <c r="L4" s="24"/>
    </row>
    <row r="5" spans="3:13" ht="20.25">
      <c r="C5" s="25"/>
      <c r="D5" s="25"/>
      <c r="E5" s="25"/>
      <c r="F5" s="133" t="s">
        <v>351</v>
      </c>
      <c r="H5" s="25"/>
      <c r="I5" s="25"/>
      <c r="J5" s="25"/>
      <c r="K5" s="25"/>
      <c r="L5" s="25"/>
    </row>
    <row r="6" spans="3:13" s="26" customFormat="1" ht="18">
      <c r="C6" s="27"/>
      <c r="D6" s="27"/>
      <c r="E6" s="27"/>
      <c r="F6" s="28" t="s">
        <v>0</v>
      </c>
      <c r="H6" s="27"/>
      <c r="I6" s="27"/>
      <c r="J6" s="27"/>
      <c r="K6" s="27"/>
      <c r="L6" s="27"/>
    </row>
    <row r="7" spans="3:13">
      <c r="C7" s="25"/>
      <c r="D7" s="25"/>
      <c r="E7" s="25"/>
      <c r="F7" s="25"/>
      <c r="H7" s="25"/>
      <c r="I7" s="25"/>
      <c r="J7" s="25"/>
      <c r="K7" s="25"/>
      <c r="L7" s="25"/>
    </row>
    <row r="8" spans="3:13" ht="21.75" customHeight="1">
      <c r="C8" s="27"/>
      <c r="D8" s="27"/>
      <c r="E8" s="27"/>
      <c r="F8" s="28" t="s">
        <v>352</v>
      </c>
      <c r="H8" s="27"/>
      <c r="I8" s="27"/>
      <c r="J8" s="27"/>
      <c r="K8" s="27"/>
      <c r="L8" s="27"/>
    </row>
    <row r="9" spans="3:13" ht="16.5" customHeight="1">
      <c r="C9" s="25"/>
      <c r="D9" s="25"/>
      <c r="E9" s="25"/>
      <c r="F9" s="126"/>
      <c r="H9" s="25"/>
      <c r="I9" s="25"/>
      <c r="J9" s="25"/>
      <c r="K9" s="25"/>
      <c r="L9" s="25"/>
    </row>
    <row r="10" spans="3:13" ht="18.75" customHeight="1">
      <c r="C10" s="25"/>
      <c r="D10" s="25"/>
      <c r="E10" s="25"/>
      <c r="F10" s="126"/>
      <c r="H10" s="25"/>
      <c r="I10" s="25"/>
      <c r="J10" s="25"/>
      <c r="K10" s="25"/>
      <c r="L10" s="25"/>
    </row>
    <row r="11" spans="3:13">
      <c r="C11" s="25"/>
      <c r="D11" s="25"/>
      <c r="E11" s="25"/>
      <c r="H11" s="25"/>
      <c r="I11" s="25"/>
      <c r="J11" s="25"/>
      <c r="K11" s="25"/>
      <c r="L11" s="25"/>
    </row>
    <row r="12" spans="3:13" ht="15">
      <c r="C12" s="25"/>
      <c r="D12" s="25"/>
      <c r="E12" s="25"/>
      <c r="F12" s="194" t="s">
        <v>598</v>
      </c>
      <c r="H12" s="25"/>
      <c r="I12" s="25"/>
      <c r="J12" s="25"/>
      <c r="K12" s="25"/>
      <c r="L12" s="25"/>
    </row>
    <row r="13" spans="3:13" ht="15.75">
      <c r="C13" s="25"/>
      <c r="D13" s="25"/>
      <c r="E13" s="25"/>
      <c r="F13" s="24"/>
      <c r="H13" s="25"/>
      <c r="I13" s="25"/>
      <c r="J13" s="25"/>
      <c r="K13" s="25"/>
      <c r="L13" s="25"/>
      <c r="M13" s="23" t="s">
        <v>1</v>
      </c>
    </row>
    <row r="14" spans="3:13" ht="15.75">
      <c r="C14" s="25"/>
      <c r="D14" s="25"/>
      <c r="E14" s="25"/>
      <c r="F14" s="24"/>
      <c r="H14" s="25"/>
      <c r="I14" s="25"/>
      <c r="J14" s="25"/>
      <c r="K14" s="25"/>
      <c r="L14" s="25" t="s">
        <v>1</v>
      </c>
    </row>
    <row r="15" spans="3:13" ht="15.75">
      <c r="C15" s="25" t="s">
        <v>637</v>
      </c>
      <c r="D15" s="25" t="s">
        <v>622</v>
      </c>
      <c r="E15" s="25"/>
      <c r="F15" s="24"/>
      <c r="H15" s="25"/>
      <c r="I15" s="25"/>
      <c r="J15" s="25"/>
      <c r="K15" s="25"/>
      <c r="L15" s="25"/>
    </row>
    <row r="16" spans="3:13" ht="15.75">
      <c r="C16" s="25"/>
      <c r="D16" s="25"/>
      <c r="E16" s="25"/>
      <c r="F16" s="24"/>
      <c r="H16" s="25"/>
      <c r="I16" s="25"/>
      <c r="J16" s="25"/>
      <c r="K16" s="25"/>
      <c r="L16" s="25" t="s">
        <v>1</v>
      </c>
    </row>
    <row r="17" spans="3:12" ht="16.5" thickBot="1">
      <c r="C17" s="25"/>
      <c r="D17" s="25"/>
      <c r="E17" s="25"/>
      <c r="F17" s="24"/>
      <c r="H17" s="25"/>
      <c r="I17" s="25"/>
      <c r="J17" s="25"/>
      <c r="K17" s="25"/>
      <c r="L17" s="25"/>
    </row>
    <row r="18" spans="3:12" ht="15.6" customHeight="1">
      <c r="C18" s="710" t="s">
        <v>629</v>
      </c>
      <c r="D18" s="711"/>
      <c r="E18" s="711"/>
      <c r="F18" s="711"/>
      <c r="G18" s="711"/>
      <c r="H18" s="711"/>
      <c r="I18" s="711"/>
      <c r="J18" s="711"/>
      <c r="K18" s="712"/>
      <c r="L18" s="25"/>
    </row>
    <row r="19" spans="3:12" ht="15.6" customHeight="1">
      <c r="C19" s="713"/>
      <c r="D19" s="714"/>
      <c r="E19" s="714"/>
      <c r="F19" s="714"/>
      <c r="G19" s="714"/>
      <c r="H19" s="714"/>
      <c r="I19" s="714"/>
      <c r="J19" s="714"/>
      <c r="K19" s="715"/>
      <c r="L19" s="25"/>
    </row>
    <row r="20" spans="3:12" ht="15.6" customHeight="1">
      <c r="C20" s="713"/>
      <c r="D20" s="714"/>
      <c r="E20" s="714"/>
      <c r="F20" s="714"/>
      <c r="G20" s="714"/>
      <c r="H20" s="714"/>
      <c r="I20" s="714"/>
      <c r="J20" s="714"/>
      <c r="K20" s="715"/>
      <c r="L20" s="25"/>
    </row>
    <row r="21" spans="3:12" ht="15.6" customHeight="1">
      <c r="C21" s="713"/>
      <c r="D21" s="714"/>
      <c r="E21" s="714"/>
      <c r="F21" s="714"/>
      <c r="G21" s="714"/>
      <c r="H21" s="714"/>
      <c r="I21" s="714"/>
      <c r="J21" s="714"/>
      <c r="K21" s="715"/>
      <c r="L21" s="25"/>
    </row>
    <row r="22" spans="3:12" ht="15.6" customHeight="1">
      <c r="C22" s="713"/>
      <c r="D22" s="714"/>
      <c r="E22" s="714"/>
      <c r="F22" s="714"/>
      <c r="G22" s="714"/>
      <c r="H22" s="714"/>
      <c r="I22" s="714"/>
      <c r="J22" s="714"/>
      <c r="K22" s="715"/>
      <c r="L22" s="25"/>
    </row>
    <row r="23" spans="3:12" ht="15.6" customHeight="1">
      <c r="C23" s="713"/>
      <c r="D23" s="714"/>
      <c r="E23" s="714"/>
      <c r="F23" s="714"/>
      <c r="G23" s="714"/>
      <c r="H23" s="714"/>
      <c r="I23" s="714"/>
      <c r="J23" s="714"/>
      <c r="K23" s="715"/>
      <c r="L23" s="25"/>
    </row>
    <row r="24" spans="3:12">
      <c r="C24" s="713"/>
      <c r="D24" s="714"/>
      <c r="E24" s="714"/>
      <c r="F24" s="714"/>
      <c r="G24" s="714"/>
      <c r="H24" s="714"/>
      <c r="I24" s="714"/>
      <c r="J24" s="714"/>
      <c r="K24" s="715"/>
      <c r="L24" s="25"/>
    </row>
    <row r="25" spans="3:12">
      <c r="C25" s="713"/>
      <c r="D25" s="714"/>
      <c r="E25" s="714"/>
      <c r="F25" s="714"/>
      <c r="G25" s="714"/>
      <c r="H25" s="714"/>
      <c r="I25" s="714"/>
      <c r="J25" s="714"/>
      <c r="K25" s="715"/>
      <c r="L25" s="25"/>
    </row>
    <row r="26" spans="3:12">
      <c r="C26" s="713"/>
      <c r="D26" s="714"/>
      <c r="E26" s="714"/>
      <c r="F26" s="714"/>
      <c r="G26" s="714"/>
      <c r="H26" s="714"/>
      <c r="I26" s="714"/>
      <c r="J26" s="714"/>
      <c r="K26" s="715"/>
      <c r="L26" s="25"/>
    </row>
    <row r="27" spans="3:12">
      <c r="C27" s="713"/>
      <c r="D27" s="714"/>
      <c r="E27" s="714"/>
      <c r="F27" s="714"/>
      <c r="G27" s="714"/>
      <c r="H27" s="714"/>
      <c r="I27" s="714"/>
      <c r="J27" s="714"/>
      <c r="K27" s="715"/>
      <c r="L27" s="25"/>
    </row>
    <row r="28" spans="3:12" ht="13.5" thickBot="1">
      <c r="C28" s="716"/>
      <c r="D28" s="717"/>
      <c r="E28" s="717"/>
      <c r="F28" s="717"/>
      <c r="G28" s="717"/>
      <c r="H28" s="717"/>
      <c r="I28" s="717"/>
      <c r="J28" s="717"/>
      <c r="K28" s="718"/>
      <c r="L28" s="25"/>
    </row>
    <row r="29" spans="3:12" ht="15.75">
      <c r="C29" s="25"/>
      <c r="D29" s="25"/>
      <c r="E29" s="25"/>
      <c r="F29" s="24"/>
      <c r="H29" s="25"/>
      <c r="I29" s="25"/>
      <c r="J29" s="25"/>
      <c r="K29" s="25"/>
      <c r="L29" s="25"/>
    </row>
    <row r="30" spans="3:12" ht="15.75">
      <c r="C30" s="25"/>
      <c r="D30" s="25"/>
      <c r="E30" s="25"/>
      <c r="F30" s="24"/>
      <c r="H30" s="25"/>
      <c r="I30" s="25"/>
      <c r="J30" s="25"/>
      <c r="K30" s="25"/>
      <c r="L30" s="25"/>
    </row>
    <row r="31" spans="3:12" ht="15.75">
      <c r="C31" s="25"/>
      <c r="D31" s="25"/>
      <c r="E31" s="25"/>
      <c r="F31" s="24"/>
      <c r="H31" s="25"/>
      <c r="I31" s="25"/>
      <c r="J31" s="25"/>
      <c r="K31" s="25"/>
      <c r="L31" s="25"/>
    </row>
    <row r="32" spans="3:12" ht="15.75">
      <c r="C32" s="25"/>
      <c r="D32" s="25"/>
      <c r="E32" s="25"/>
      <c r="F32" s="24"/>
      <c r="H32" s="25"/>
      <c r="I32" s="25"/>
      <c r="J32" s="25"/>
      <c r="K32" s="25"/>
      <c r="L32" s="25"/>
    </row>
    <row r="33" spans="2:20" ht="15.75">
      <c r="C33" s="25"/>
      <c r="D33" s="25"/>
      <c r="E33" s="25"/>
      <c r="F33" s="24"/>
      <c r="H33" s="25"/>
      <c r="I33" s="25"/>
      <c r="J33" s="25"/>
      <c r="K33" s="25"/>
      <c r="L33" s="25"/>
    </row>
    <row r="34" spans="2:20" ht="15.75">
      <c r="C34" s="25"/>
      <c r="D34" s="25"/>
      <c r="E34" s="25"/>
      <c r="F34" s="24"/>
      <c r="H34" s="25"/>
      <c r="I34" s="25"/>
      <c r="J34" s="25"/>
      <c r="K34" s="25"/>
      <c r="L34" s="25"/>
    </row>
    <row r="35" spans="2:20" ht="15.75">
      <c r="C35" s="25"/>
      <c r="D35" s="25"/>
      <c r="E35" s="25"/>
      <c r="F35" s="24"/>
      <c r="H35" s="25"/>
      <c r="I35" s="25"/>
      <c r="J35" s="25"/>
      <c r="K35" s="25"/>
      <c r="L35" s="25"/>
    </row>
    <row r="37" spans="2:20">
      <c r="B37" s="29"/>
      <c r="C37" s="30"/>
      <c r="D37" s="31"/>
      <c r="E37" s="29"/>
      <c r="F37" s="29"/>
      <c r="G37" s="29"/>
    </row>
    <row r="40" spans="2:20">
      <c r="B40" s="32"/>
    </row>
    <row r="41" spans="2:20">
      <c r="B41" s="32"/>
      <c r="T41" s="567"/>
    </row>
  </sheetData>
  <sheetProtection algorithmName="SHA-512" hashValue="IvGr4QIJVowrkea4d4qlJGXNBu0xELpirBFAqPoX9gqYPGaIk8xRTMzbDH5Wvw6WA75mYUb0RhaCKqYqD8mcMA==" saltValue="g3Rzol5UO8lETd8R+h2W4g==" spinCount="100000" sheet="1" objects="1" scenarios="1"/>
  <mergeCells count="1">
    <mergeCell ref="C18:K28"/>
  </mergeCells>
  <phoneticPr fontId="0" type="noConversion"/>
  <pageMargins left="0.75" right="0.75" top="0.43" bottom="0.39" header="0.4" footer="0.36"/>
  <pageSetup paperSize="9" scale="8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A664F-6669-4A59-86CA-97257C6ED9B1}">
  <dimension ref="A1:AK161"/>
  <sheetViews>
    <sheetView topLeftCell="F1" zoomScale="70" zoomScaleNormal="70" workbookViewId="0">
      <selection activeCell="J10" sqref="J10"/>
    </sheetView>
  </sheetViews>
  <sheetFormatPr defaultColWidth="9.140625" defaultRowHeight="12.75"/>
  <cols>
    <col min="1" max="1" width="47.140625" style="571" customWidth="1"/>
    <col min="2" max="2" width="39" style="571" customWidth="1"/>
    <col min="3" max="3" width="9.5703125" style="571" bestFit="1" customWidth="1"/>
    <col min="4" max="4" width="11.7109375" style="571" bestFit="1" customWidth="1"/>
    <col min="5" max="7" width="15" style="571" customWidth="1"/>
    <col min="8" max="8" width="11.85546875" style="571" customWidth="1"/>
    <col min="9" max="9" width="73.28515625" style="571" customWidth="1"/>
    <col min="10" max="10" width="35.28515625" style="571" customWidth="1"/>
    <col min="11" max="11" width="14.7109375" style="571" customWidth="1"/>
    <col min="12" max="12" width="36.140625" style="578" customWidth="1"/>
    <col min="13" max="13" width="14.7109375" style="571" customWidth="1"/>
    <col min="14" max="14" width="9.140625" style="571"/>
    <col min="15" max="15" width="15.85546875" style="571" customWidth="1"/>
    <col min="16" max="16" width="15.5703125" style="571" customWidth="1"/>
    <col min="17" max="19" width="16.85546875" style="571" customWidth="1"/>
    <col min="20" max="20" width="20" style="571" customWidth="1"/>
    <col min="21" max="21" width="18.5703125" style="571" customWidth="1"/>
    <col min="22" max="22" width="11.28515625" style="571" customWidth="1"/>
    <col min="23" max="23" width="10.85546875" style="571" customWidth="1"/>
    <col min="24" max="24" width="9.140625" style="571"/>
    <col min="25" max="25" width="11.7109375" style="571" customWidth="1"/>
    <col min="26" max="27" width="14.7109375" style="571" customWidth="1"/>
    <col min="28" max="28" width="12.7109375" style="571" customWidth="1"/>
    <col min="29" max="29" width="26" style="578" customWidth="1"/>
    <col min="30" max="31" width="11.42578125" style="571" customWidth="1"/>
    <col min="32" max="16384" width="9.140625" style="571"/>
  </cols>
  <sheetData>
    <row r="1" spans="1:35" ht="18.75" thickBot="1">
      <c r="A1" s="570" t="s">
        <v>197</v>
      </c>
      <c r="C1" s="571" t="s">
        <v>198</v>
      </c>
      <c r="D1" s="571" t="s">
        <v>199</v>
      </c>
      <c r="E1" s="571" t="s">
        <v>200</v>
      </c>
      <c r="F1" s="571" t="s">
        <v>201</v>
      </c>
      <c r="G1" s="571" t="s">
        <v>202</v>
      </c>
      <c r="H1" s="571" t="s">
        <v>46</v>
      </c>
      <c r="I1" s="572" t="s">
        <v>203</v>
      </c>
      <c r="J1" s="292" t="s">
        <v>509</v>
      </c>
      <c r="K1" s="293">
        <v>3</v>
      </c>
      <c r="L1" s="51"/>
      <c r="M1" s="573"/>
      <c r="N1" s="52"/>
      <c r="O1" s="571" t="s">
        <v>204</v>
      </c>
      <c r="P1" s="571" t="s">
        <v>1</v>
      </c>
      <c r="Q1" s="571" t="s">
        <v>1</v>
      </c>
      <c r="T1" s="574" t="e">
        <f ca="1">IF(E111=24,(1-AG24)*H8,IF(E111=16,(1-AH24)*H8,(1-AI24)*H8))</f>
        <v>#VALUE!</v>
      </c>
      <c r="U1" s="574">
        <f ca="1">H12</f>
        <v>0</v>
      </c>
      <c r="AA1" s="571" t="e">
        <f ca="1">IF(E111=24,(AG24)*H8,IF(E111=16,(AH24)*H8,(AI24)*H8))</f>
        <v>#VALUE!</v>
      </c>
      <c r="AC1" s="51"/>
      <c r="AD1" s="573"/>
    </row>
    <row r="2" spans="1:35" ht="27.6" customHeight="1">
      <c r="A2" s="571" t="s">
        <v>205</v>
      </c>
      <c r="B2" s="575" t="s">
        <v>493</v>
      </c>
      <c r="C2" s="576" t="s">
        <v>206</v>
      </c>
      <c r="D2" s="576" t="s">
        <v>207</v>
      </c>
      <c r="E2" s="576" t="s">
        <v>208</v>
      </c>
      <c r="F2" s="576" t="s">
        <v>209</v>
      </c>
      <c r="G2" s="576" t="s">
        <v>210</v>
      </c>
      <c r="J2" s="577"/>
      <c r="K2" s="572"/>
      <c r="M2" s="572"/>
      <c r="AD2" s="572" t="s">
        <v>1</v>
      </c>
    </row>
    <row r="3" spans="1:35" ht="69.599999999999994" customHeight="1">
      <c r="A3" s="571" t="s">
        <v>211</v>
      </c>
      <c r="B3" s="571" t="s">
        <v>212</v>
      </c>
      <c r="C3" s="574">
        <f ca="1">E101</f>
        <v>0</v>
      </c>
      <c r="D3" s="571">
        <v>-7</v>
      </c>
      <c r="E3" s="571">
        <v>2</v>
      </c>
      <c r="F3" s="571">
        <v>7</v>
      </c>
      <c r="G3" s="571">
        <v>12</v>
      </c>
      <c r="I3" s="579" t="str">
        <f ca="1">"Based on standard "&amp;E100</f>
        <v>Based on standard I.S. EN 14825</v>
      </c>
      <c r="J3" s="577"/>
      <c r="K3" s="572"/>
      <c r="M3" s="572" t="s">
        <v>213</v>
      </c>
      <c r="N3" s="577" t="s">
        <v>174</v>
      </c>
      <c r="O3" s="578" t="s">
        <v>214</v>
      </c>
      <c r="P3" s="578" t="s">
        <v>215</v>
      </c>
      <c r="Q3" s="578" t="s">
        <v>216</v>
      </c>
      <c r="R3" s="578" t="s">
        <v>217</v>
      </c>
      <c r="S3" s="578" t="s">
        <v>218</v>
      </c>
      <c r="T3" s="578" t="s">
        <v>219</v>
      </c>
      <c r="U3" s="578" t="s">
        <v>220</v>
      </c>
      <c r="V3" s="578" t="s">
        <v>221</v>
      </c>
      <c r="W3" s="580" t="s">
        <v>412</v>
      </c>
      <c r="X3" s="580" t="s">
        <v>413</v>
      </c>
      <c r="Y3" s="580" t="s">
        <v>414</v>
      </c>
      <c r="Z3" s="580" t="s">
        <v>415</v>
      </c>
      <c r="AA3" s="577" t="s">
        <v>222</v>
      </c>
      <c r="AB3" s="577" t="s">
        <v>223</v>
      </c>
      <c r="AC3" s="577" t="s">
        <v>224</v>
      </c>
      <c r="AD3" s="572"/>
      <c r="AF3" s="774" t="s">
        <v>225</v>
      </c>
      <c r="AG3" s="774"/>
      <c r="AH3" s="774"/>
      <c r="AI3" s="774"/>
    </row>
    <row r="4" spans="1:35" ht="14.25">
      <c r="A4" s="572" t="s">
        <v>226</v>
      </c>
      <c r="B4" s="571" t="s">
        <v>227</v>
      </c>
      <c r="C4" s="571">
        <v>-12</v>
      </c>
      <c r="D4" s="571">
        <f ca="1">(C3+D3)/2</f>
        <v>-3.5</v>
      </c>
      <c r="E4" s="571">
        <f>(D3+E3)/2</f>
        <v>-2.5</v>
      </c>
      <c r="F4" s="571">
        <f>(E3+F3)/2</f>
        <v>4.5</v>
      </c>
      <c r="G4" s="571">
        <f>(F3+G3)/2</f>
        <v>9.5</v>
      </c>
      <c r="I4" s="579" t="s">
        <v>395</v>
      </c>
      <c r="J4" s="577"/>
      <c r="K4" s="572"/>
      <c r="M4" s="581">
        <f ca="1">C3</f>
        <v>0</v>
      </c>
      <c r="N4" s="574">
        <f ca="1">C41</f>
        <v>0</v>
      </c>
      <c r="O4" s="582">
        <v>-12</v>
      </c>
      <c r="P4" s="583">
        <f>'Meteorological data'!F4</f>
        <v>0</v>
      </c>
      <c r="Q4" s="583">
        <f>'Meteorological data'!G4</f>
        <v>0</v>
      </c>
      <c r="R4" s="584">
        <v>0</v>
      </c>
      <c r="S4" s="585">
        <f t="shared" ref="S4:S51" ca="1" si="0">R4*((24-$E$112)/24)</f>
        <v>0</v>
      </c>
      <c r="T4" s="585" t="e">
        <f ca="1">$T$1*P4</f>
        <v>#VALUE!</v>
      </c>
      <c r="U4" s="585">
        <f ca="1">$U$1*Q4</f>
        <v>0</v>
      </c>
      <c r="V4" s="585" t="e">
        <f t="shared" ref="V4:V51" ca="1" si="1">IF($E$91=TRUE,(T4+U4),T4)</f>
        <v>#VALUE!</v>
      </c>
      <c r="W4" s="574" t="e">
        <f t="shared" ref="W4:W31" ca="1" si="2">$E$105+((($E$107-$E$110)/2)*(($E$105-O4)/($E$105-$E$104)))+((AVERAGE($E$107,$E$110)-$E$105)*(($E$105-O4)/($E$105-$E$104))^(1/$E$108))</f>
        <v>#VALUE!</v>
      </c>
      <c r="X4" s="574">
        <f ca="1">(($X$9-$N$4)/($O$9-$M$4))*(O4-$M$4)+$N$4</f>
        <v>0</v>
      </c>
      <c r="Y4" s="585" t="e">
        <f ca="1">V4/X4</f>
        <v>#VALUE!</v>
      </c>
      <c r="Z4" s="585" t="e">
        <f ca="1">IF((Y4-S4)&lt;0,0,(Y4-S4))</f>
        <v>#VALUE!</v>
      </c>
      <c r="AA4" s="585" t="e">
        <f ca="1">$AA$1*P4</f>
        <v>#VALUE!</v>
      </c>
      <c r="AB4" s="585" t="e">
        <f ca="1">X4*Z4</f>
        <v>#VALUE!</v>
      </c>
      <c r="AC4" s="586" t="e">
        <f ca="1">AA4+AB4</f>
        <v>#VALUE!</v>
      </c>
      <c r="AF4" s="572" t="s">
        <v>228</v>
      </c>
      <c r="AG4" s="571">
        <v>24</v>
      </c>
      <c r="AH4" s="571">
        <v>16</v>
      </c>
      <c r="AI4" s="571">
        <v>11</v>
      </c>
    </row>
    <row r="5" spans="1:35" ht="14.25">
      <c r="A5" s="572" t="s">
        <v>229</v>
      </c>
      <c r="B5" s="571" t="s">
        <v>227</v>
      </c>
      <c r="C5" s="571">
        <f ca="1">(C3+D3)/2</f>
        <v>-3.5</v>
      </c>
      <c r="D5" s="571">
        <f>(D3+E3)/2</f>
        <v>-2.5</v>
      </c>
      <c r="E5" s="571">
        <f>(E3+F3)/2</f>
        <v>4.5</v>
      </c>
      <c r="F5" s="571">
        <f>(F3+G3)/2</f>
        <v>9.5</v>
      </c>
      <c r="G5" s="571">
        <v>35</v>
      </c>
      <c r="I5" s="579" t="s">
        <v>396</v>
      </c>
      <c r="J5" s="577"/>
      <c r="K5" s="572"/>
      <c r="M5" s="572"/>
      <c r="O5" s="582">
        <f t="shared" ref="O5:O51" si="3">O4+1</f>
        <v>-11</v>
      </c>
      <c r="P5" s="583">
        <f>'Meteorological data'!F5</f>
        <v>0</v>
      </c>
      <c r="Q5" s="583">
        <f>'Meteorological data'!G5</f>
        <v>0</v>
      </c>
      <c r="R5" s="584">
        <v>0</v>
      </c>
      <c r="S5" s="585">
        <f t="shared" ca="1" si="0"/>
        <v>0</v>
      </c>
      <c r="T5" s="585" t="e">
        <f t="shared" ref="T5:T31" ca="1" si="4">$T$1*P5</f>
        <v>#VALUE!</v>
      </c>
      <c r="U5" s="585">
        <f t="shared" ref="U5:U51" ca="1" si="5">$U$1*Q5</f>
        <v>0</v>
      </c>
      <c r="V5" s="585" t="e">
        <f t="shared" ca="1" si="1"/>
        <v>#VALUE!</v>
      </c>
      <c r="W5" s="574" t="e">
        <f t="shared" ca="1" si="2"/>
        <v>#VALUE!</v>
      </c>
      <c r="X5" s="574">
        <f t="shared" ref="X5:X7" ca="1" si="6">(($X$9-$N$4)/($O$9-$M$4))*(O5-$M$4)+$N$4</f>
        <v>0</v>
      </c>
      <c r="Y5" s="585" t="e">
        <f t="shared" ref="Y5:Y15" ca="1" si="7">V5/X5</f>
        <v>#VALUE!</v>
      </c>
      <c r="Z5" s="585" t="e">
        <f t="shared" ref="Z5:Z31" ca="1" si="8">IF((Y5-S5)&lt;0,0,(Y5-S5))</f>
        <v>#VALUE!</v>
      </c>
      <c r="AA5" s="585" t="e">
        <f t="shared" ref="AA5:AA31" ca="1" si="9">$AA$1*P5</f>
        <v>#VALUE!</v>
      </c>
      <c r="AB5" s="585" t="e">
        <f t="shared" ref="AB5:AB31" ca="1" si="10">X5*Z5</f>
        <v>#VALUE!</v>
      </c>
      <c r="AC5" s="586" t="e">
        <f t="shared" ref="AC5:AC31" ca="1" si="11">AA5+AB5</f>
        <v>#VALUE!</v>
      </c>
      <c r="AF5" s="571">
        <v>0.2</v>
      </c>
      <c r="AG5" s="571">
        <v>0.4</v>
      </c>
      <c r="AH5" s="571">
        <v>0.53</v>
      </c>
      <c r="AI5" s="571">
        <v>0.64</v>
      </c>
    </row>
    <row r="6" spans="1:35" ht="14.25">
      <c r="A6" s="587" t="s">
        <v>230</v>
      </c>
      <c r="B6" s="572" t="s">
        <v>433</v>
      </c>
      <c r="C6" s="571">
        <f ca="1">IF(LEFT($E$98,3)="Air",C3,
IF(LEFT($E$98,5)="Water",10,
IF($E$98="Direct exchange (DX)",4,
IF(LEFT($E$98,7)="Exhaust",20,
0))))</f>
        <v>0</v>
      </c>
      <c r="D6" s="571">
        <f ca="1">IF(LEFT($E$98,3)="Air",D3,
IF(LEFT($E$98,5)="Water",10,
IF($E$98="Direct exchange (DX)",4,
IF(LEFT($E$98,7)="Exhaust",20,
0))))</f>
        <v>-7</v>
      </c>
      <c r="E6" s="571">
        <f ca="1">IF(LEFT($E$98,3)="Air",E3,
IF(LEFT($E$98,5)="Water",10,
IF($E$98="Direct exchange (DX)",4,
IF(LEFT($E$98,7)="Exhaust",20,
0))))</f>
        <v>2</v>
      </c>
      <c r="F6" s="571">
        <f ca="1">IF(LEFT($E$98,3)="Air",F3,
IF(LEFT($E$98,5)="Water",10,
IF($E$98="Direct exchange (DX)",4,
IF(LEFT($E$98,7)="Exhaust",20,
0))))</f>
        <v>7</v>
      </c>
      <c r="G6" s="571">
        <f ca="1">IF(LEFT($E$98,3)="Air",G3,
IF(LEFT($E$98,5)="Water",10,
IF($E$98="Direct exchange (DX)",4,
IF(LEFT($E$98,7)="Exhaust",20,
0))))</f>
        <v>12</v>
      </c>
      <c r="I6" s="588"/>
      <c r="J6" s="577"/>
      <c r="N6" s="578"/>
      <c r="O6" s="582">
        <f t="shared" si="3"/>
        <v>-10</v>
      </c>
      <c r="P6" s="583">
        <f>'Meteorological data'!F6</f>
        <v>0</v>
      </c>
      <c r="Q6" s="583">
        <f>'Meteorological data'!G6</f>
        <v>0</v>
      </c>
      <c r="R6" s="584">
        <v>0</v>
      </c>
      <c r="S6" s="585">
        <f t="shared" ca="1" si="0"/>
        <v>0</v>
      </c>
      <c r="T6" s="585" t="e">
        <f ca="1">$T$1*P6</f>
        <v>#VALUE!</v>
      </c>
      <c r="U6" s="585">
        <f t="shared" ca="1" si="5"/>
        <v>0</v>
      </c>
      <c r="V6" s="585" t="e">
        <f t="shared" ca="1" si="1"/>
        <v>#VALUE!</v>
      </c>
      <c r="W6" s="574" t="e">
        <f t="shared" ca="1" si="2"/>
        <v>#VALUE!</v>
      </c>
      <c r="X6" s="574">
        <f t="shared" ca="1" si="6"/>
        <v>0</v>
      </c>
      <c r="Y6" s="585" t="e">
        <f t="shared" ca="1" si="7"/>
        <v>#VALUE!</v>
      </c>
      <c r="Z6" s="585" t="e">
        <f t="shared" ca="1" si="8"/>
        <v>#VALUE!</v>
      </c>
      <c r="AA6" s="585" t="e">
        <f t="shared" ca="1" si="9"/>
        <v>#VALUE!</v>
      </c>
      <c r="AB6" s="585" t="e">
        <f t="shared" ca="1" si="10"/>
        <v>#VALUE!</v>
      </c>
      <c r="AC6" s="586" t="e">
        <f t="shared" ca="1" si="11"/>
        <v>#VALUE!</v>
      </c>
      <c r="AD6" s="572"/>
      <c r="AF6" s="571">
        <v>0.25</v>
      </c>
      <c r="AG6" s="571">
        <v>0.28000000000000003</v>
      </c>
      <c r="AH6" s="571">
        <v>0.43</v>
      </c>
      <c r="AI6" s="571">
        <v>0.56999999999999995</v>
      </c>
    </row>
    <row r="7" spans="1:35">
      <c r="A7" s="571" t="s">
        <v>231</v>
      </c>
      <c r="B7" s="589" t="s">
        <v>397</v>
      </c>
      <c r="C7" s="574">
        <f>('Meteorological data'!E8-'Meteorological data'!E4)/'Meteorological data'!E31</f>
        <v>0</v>
      </c>
      <c r="D7" s="574">
        <f>('Meteorological data'!E14-'Meteorological data'!E8)/'Meteorological data'!E31</f>
        <v>5.8820364757993654E-3</v>
      </c>
      <c r="E7" s="574">
        <f>('Meteorological data'!E20-'Meteorological data'!E14)/'Meteorological data'!E31</f>
        <v>0.30193856141168873</v>
      </c>
      <c r="F7" s="574">
        <f>('Meteorological data'!E25-'Meteorological data'!E20)/'Meteorological data'!E31</f>
        <v>0.46292344386062445</v>
      </c>
      <c r="G7" s="574">
        <f>('Meteorological data'!E31-'Meteorological data'!E25)/'Meteorological data'!E31</f>
        <v>0.22925595825188747</v>
      </c>
      <c r="H7" s="574">
        <f t="shared" ref="H7:H12" si="12">SUM(C7:G7)</f>
        <v>1</v>
      </c>
      <c r="J7" s="577"/>
      <c r="L7" s="577"/>
      <c r="N7" s="572"/>
      <c r="O7" s="582">
        <f t="shared" si="3"/>
        <v>-9</v>
      </c>
      <c r="P7" s="583">
        <f>'Meteorological data'!F7</f>
        <v>0</v>
      </c>
      <c r="Q7" s="583">
        <f>'Meteorological data'!G7</f>
        <v>0</v>
      </c>
      <c r="R7" s="584">
        <v>0</v>
      </c>
      <c r="S7" s="585">
        <f t="shared" ca="1" si="0"/>
        <v>0</v>
      </c>
      <c r="T7" s="585" t="e">
        <f t="shared" ca="1" si="4"/>
        <v>#VALUE!</v>
      </c>
      <c r="U7" s="585">
        <f t="shared" ca="1" si="5"/>
        <v>0</v>
      </c>
      <c r="V7" s="585" t="e">
        <f t="shared" ca="1" si="1"/>
        <v>#VALUE!</v>
      </c>
      <c r="W7" s="574" t="e">
        <f t="shared" ca="1" si="2"/>
        <v>#VALUE!</v>
      </c>
      <c r="X7" s="574">
        <f t="shared" ca="1" si="6"/>
        <v>0</v>
      </c>
      <c r="Y7" s="585" t="e">
        <f t="shared" ca="1" si="7"/>
        <v>#VALUE!</v>
      </c>
      <c r="Z7" s="585" t="e">
        <f t="shared" ca="1" si="8"/>
        <v>#VALUE!</v>
      </c>
      <c r="AA7" s="585" t="e">
        <f t="shared" ca="1" si="9"/>
        <v>#VALUE!</v>
      </c>
      <c r="AB7" s="585" t="e">
        <f t="shared" ca="1" si="10"/>
        <v>#VALUE!</v>
      </c>
      <c r="AC7" s="586" t="e">
        <f t="shared" ca="1" si="11"/>
        <v>#VALUE!</v>
      </c>
      <c r="AF7" s="571">
        <v>0.3</v>
      </c>
      <c r="AG7" s="571">
        <v>0.19</v>
      </c>
      <c r="AH7" s="571">
        <v>0.34</v>
      </c>
      <c r="AI7" s="571">
        <v>0.49</v>
      </c>
    </row>
    <row r="8" spans="1:35">
      <c r="A8" s="572" t="s">
        <v>232</v>
      </c>
      <c r="B8" s="589" t="s">
        <v>398</v>
      </c>
      <c r="C8" s="574">
        <f ca="1">IF($E$94="No",$E$103*C7,(($E$103*$E$97/$E$96))*C7)</f>
        <v>0</v>
      </c>
      <c r="D8" s="574">
        <f ca="1">IF($E$94="No",$E$103*D7,(($E$103*$E$97/$E$96))*D7)</f>
        <v>0</v>
      </c>
      <c r="E8" s="574">
        <f ca="1">IF($E$94="No",$E$103*E7,(($E$103*$E$97/$E$96))*E7)</f>
        <v>0</v>
      </c>
      <c r="F8" s="574">
        <f ca="1">IF($E$94="No",$E$103*F7,(($E$103*$E$97/$E$96))*F7)</f>
        <v>0</v>
      </c>
      <c r="G8" s="574">
        <f ca="1">IF($E$94="No",$E$103*G7,(($E$103*$E$97/$E$96))*G7)</f>
        <v>0</v>
      </c>
      <c r="H8" s="574">
        <f t="shared" ca="1" si="12"/>
        <v>0</v>
      </c>
      <c r="J8" s="577"/>
      <c r="K8" s="572"/>
      <c r="M8" s="572"/>
      <c r="O8" s="582">
        <f t="shared" si="3"/>
        <v>-8</v>
      </c>
      <c r="P8" s="583">
        <f>'Meteorological data'!F8</f>
        <v>0</v>
      </c>
      <c r="Q8" s="583">
        <f>'Meteorological data'!G8</f>
        <v>0</v>
      </c>
      <c r="R8" s="584">
        <v>0</v>
      </c>
      <c r="S8" s="585">
        <f t="shared" ca="1" si="0"/>
        <v>0</v>
      </c>
      <c r="T8" s="585" t="e">
        <f t="shared" ca="1" si="4"/>
        <v>#VALUE!</v>
      </c>
      <c r="U8" s="585">
        <f t="shared" ca="1" si="5"/>
        <v>0</v>
      </c>
      <c r="V8" s="585" t="e">
        <f t="shared" ca="1" si="1"/>
        <v>#VALUE!</v>
      </c>
      <c r="W8" s="574" t="e">
        <f t="shared" ca="1" si="2"/>
        <v>#VALUE!</v>
      </c>
      <c r="X8" s="574">
        <f ca="1">(($X$9-$N$4)/($O$9-$M$4))*(O8-$M$4)+$N$4</f>
        <v>0</v>
      </c>
      <c r="Y8" s="585" t="e">
        <f t="shared" ca="1" si="7"/>
        <v>#VALUE!</v>
      </c>
      <c r="Z8" s="585" t="e">
        <f t="shared" ca="1" si="8"/>
        <v>#VALUE!</v>
      </c>
      <c r="AA8" s="585" t="e">
        <f t="shared" ca="1" si="9"/>
        <v>#VALUE!</v>
      </c>
      <c r="AB8" s="585" t="e">
        <f t="shared" ca="1" si="10"/>
        <v>#VALUE!</v>
      </c>
      <c r="AC8" s="586" t="e">
        <f t="shared" ca="1" si="11"/>
        <v>#VALUE!</v>
      </c>
      <c r="AF8" s="571">
        <v>0.35</v>
      </c>
      <c r="AG8" s="571">
        <v>0.12</v>
      </c>
      <c r="AH8" s="571">
        <v>0.27</v>
      </c>
      <c r="AI8" s="571">
        <v>0.42</v>
      </c>
    </row>
    <row r="9" spans="1:35">
      <c r="A9" s="572" t="s">
        <v>217</v>
      </c>
      <c r="B9" s="589" t="s">
        <v>399</v>
      </c>
      <c r="C9" s="571">
        <f>('Meteorological data'!C8-'Meteorological data'!C4)</f>
        <v>0</v>
      </c>
      <c r="D9" s="571">
        <f>('Meteorological data'!C14-'Meteorological data'!C8)</f>
        <v>18</v>
      </c>
      <c r="E9" s="571">
        <f>('Meteorological data'!C20-'Meteorological data'!C14)</f>
        <v>1247</v>
      </c>
      <c r="F9" s="571">
        <f>('Meteorological data'!C25-'Meteorological data'!C20)</f>
        <v>2933</v>
      </c>
      <c r="G9" s="571">
        <f>('Meteorological data'!C51-'Meteorological data'!C25)</f>
        <v>4562</v>
      </c>
      <c r="H9" s="574">
        <f t="shared" si="12"/>
        <v>8760</v>
      </c>
      <c r="J9" s="577"/>
      <c r="K9" s="577"/>
      <c r="M9" s="577"/>
      <c r="O9" s="590">
        <f t="shared" si="3"/>
        <v>-7</v>
      </c>
      <c r="P9" s="591">
        <f>'Meteorological data'!F9</f>
        <v>0</v>
      </c>
      <c r="Q9" s="591">
        <f>'Meteorological data'!G9</f>
        <v>0</v>
      </c>
      <c r="R9" s="592">
        <v>0</v>
      </c>
      <c r="S9" s="593">
        <f t="shared" ca="1" si="0"/>
        <v>0</v>
      </c>
      <c r="T9" s="593" t="e">
        <f t="shared" ca="1" si="4"/>
        <v>#VALUE!</v>
      </c>
      <c r="U9" s="593">
        <f t="shared" ca="1" si="5"/>
        <v>0</v>
      </c>
      <c r="V9" s="585" t="e">
        <f t="shared" ca="1" si="1"/>
        <v>#VALUE!</v>
      </c>
      <c r="W9" s="594" t="e">
        <f t="shared" ca="1" si="2"/>
        <v>#VALUE!</v>
      </c>
      <c r="X9" s="594">
        <f ca="1">D41</f>
        <v>0</v>
      </c>
      <c r="Y9" s="593" t="e">
        <f t="shared" ca="1" si="7"/>
        <v>#VALUE!</v>
      </c>
      <c r="Z9" s="593" t="e">
        <f t="shared" ca="1" si="8"/>
        <v>#VALUE!</v>
      </c>
      <c r="AA9" s="593" t="e">
        <f t="shared" ca="1" si="9"/>
        <v>#VALUE!</v>
      </c>
      <c r="AB9" s="593" t="e">
        <f t="shared" ca="1" si="10"/>
        <v>#VALUE!</v>
      </c>
      <c r="AC9" s="595" t="e">
        <f t="shared" ca="1" si="11"/>
        <v>#VALUE!</v>
      </c>
      <c r="AF9" s="571">
        <v>0.4</v>
      </c>
      <c r="AG9" s="571">
        <v>0.06</v>
      </c>
      <c r="AH9" s="571">
        <v>0.2</v>
      </c>
      <c r="AI9" s="571">
        <v>0.35</v>
      </c>
    </row>
    <row r="10" spans="1:35">
      <c r="A10" s="572" t="s">
        <v>218</v>
      </c>
      <c r="B10" s="589" t="s">
        <v>400</v>
      </c>
      <c r="C10" s="571">
        <f ca="1">C9*((24-$E$112)/24)</f>
        <v>0</v>
      </c>
      <c r="D10" s="571">
        <f ca="1">D9*((24-$E$112)/24)</f>
        <v>6</v>
      </c>
      <c r="E10" s="571">
        <f ca="1">E9*((24-$E$112)/24)</f>
        <v>415.66666666666663</v>
      </c>
      <c r="F10" s="571">
        <f ca="1">F9*((24-$E$112)/24)</f>
        <v>977.66666666666663</v>
      </c>
      <c r="G10" s="571">
        <f ca="1">G9*((24-$E$112)/24)</f>
        <v>1520.6666666666665</v>
      </c>
      <c r="H10" s="574">
        <f t="shared" ca="1" si="12"/>
        <v>2920</v>
      </c>
      <c r="J10" s="577"/>
      <c r="K10" s="572"/>
      <c r="M10" s="572"/>
      <c r="O10" s="582">
        <f t="shared" si="3"/>
        <v>-6</v>
      </c>
      <c r="P10" s="583">
        <f>'Meteorological data'!F10</f>
        <v>0</v>
      </c>
      <c r="Q10" s="583">
        <f>'Meteorological data'!G10</f>
        <v>0</v>
      </c>
      <c r="R10" s="584">
        <v>0</v>
      </c>
      <c r="S10" s="585">
        <f t="shared" ca="1" si="0"/>
        <v>0</v>
      </c>
      <c r="T10" s="585" t="e">
        <f t="shared" ca="1" si="4"/>
        <v>#VALUE!</v>
      </c>
      <c r="U10" s="585">
        <f t="shared" ca="1" si="5"/>
        <v>0</v>
      </c>
      <c r="V10" s="585" t="e">
        <f t="shared" ca="1" si="1"/>
        <v>#VALUE!</v>
      </c>
      <c r="W10" s="574" t="e">
        <f t="shared" ca="1" si="2"/>
        <v>#VALUE!</v>
      </c>
      <c r="X10" s="574">
        <f ca="1">(($X$18-$X$9)/($O$18-$O$9))*(O10-$O$9)+$X$9</f>
        <v>0</v>
      </c>
      <c r="Y10" s="585" t="e">
        <f t="shared" ca="1" si="7"/>
        <v>#VALUE!</v>
      </c>
      <c r="Z10" s="585" t="e">
        <f t="shared" ca="1" si="8"/>
        <v>#VALUE!</v>
      </c>
      <c r="AA10" s="585" t="e">
        <f t="shared" ca="1" si="9"/>
        <v>#VALUE!</v>
      </c>
      <c r="AB10" s="585" t="e">
        <f t="shared" ca="1" si="10"/>
        <v>#VALUE!</v>
      </c>
      <c r="AC10" s="586" t="e">
        <f t="shared" ca="1" si="11"/>
        <v>#VALUE!</v>
      </c>
      <c r="AF10" s="571">
        <v>0.45</v>
      </c>
      <c r="AG10" s="571">
        <v>0.03</v>
      </c>
      <c r="AH10" s="571">
        <v>0.14000000000000001</v>
      </c>
      <c r="AI10" s="571">
        <v>0.28999999999999998</v>
      </c>
    </row>
    <row r="11" spans="1:35">
      <c r="A11" s="571" t="s">
        <v>233</v>
      </c>
      <c r="B11" s="589" t="s">
        <v>401</v>
      </c>
      <c r="C11" s="574">
        <f ca="1">C10/$H$10</f>
        <v>0</v>
      </c>
      <c r="D11" s="574">
        <f ca="1">D10/$H$10</f>
        <v>2.054794520547945E-3</v>
      </c>
      <c r="E11" s="574">
        <f ca="1">E10/$H$10</f>
        <v>0.14235159817351598</v>
      </c>
      <c r="F11" s="574">
        <f ca="1">F10/$H$10</f>
        <v>0.3348173515981735</v>
      </c>
      <c r="G11" s="574">
        <f ca="1">G10/$H$10</f>
        <v>0.52077625570776254</v>
      </c>
      <c r="H11" s="574">
        <f t="shared" ca="1" si="12"/>
        <v>1</v>
      </c>
      <c r="J11" s="578"/>
      <c r="O11" s="582">
        <f t="shared" si="3"/>
        <v>-5</v>
      </c>
      <c r="P11" s="583">
        <f>'Meteorological data'!F11</f>
        <v>0</v>
      </c>
      <c r="Q11" s="583">
        <f>'Meteorological data'!G11</f>
        <v>0</v>
      </c>
      <c r="R11" s="584">
        <v>0</v>
      </c>
      <c r="S11" s="585">
        <f t="shared" ca="1" si="0"/>
        <v>0</v>
      </c>
      <c r="T11" s="585" t="e">
        <f t="shared" ca="1" si="4"/>
        <v>#VALUE!</v>
      </c>
      <c r="U11" s="585">
        <f t="shared" ca="1" si="5"/>
        <v>0</v>
      </c>
      <c r="V11" s="585" t="e">
        <f t="shared" ca="1" si="1"/>
        <v>#VALUE!</v>
      </c>
      <c r="W11" s="574" t="e">
        <f t="shared" ca="1" si="2"/>
        <v>#VALUE!</v>
      </c>
      <c r="X11" s="574">
        <f t="shared" ref="X11:X17" ca="1" si="13">(($X$18-$X$9)/($O$18-$O$9))*(O11-$O$9)+$X$9</f>
        <v>0</v>
      </c>
      <c r="Y11" s="585" t="e">
        <f t="shared" ca="1" si="7"/>
        <v>#VALUE!</v>
      </c>
      <c r="Z11" s="585" t="e">
        <f t="shared" ca="1" si="8"/>
        <v>#VALUE!</v>
      </c>
      <c r="AA11" s="585" t="e">
        <f t="shared" ca="1" si="9"/>
        <v>#VALUE!</v>
      </c>
      <c r="AB11" s="585" t="e">
        <f t="shared" ca="1" si="10"/>
        <v>#VALUE!</v>
      </c>
      <c r="AC11" s="586" t="e">
        <f t="shared" ca="1" si="11"/>
        <v>#VALUE!</v>
      </c>
      <c r="AF11" s="571">
        <v>0.5</v>
      </c>
      <c r="AG11" s="571">
        <v>0.01</v>
      </c>
      <c r="AH11" s="571">
        <v>0.09</v>
      </c>
      <c r="AI11" s="571">
        <v>0.24</v>
      </c>
    </row>
    <row r="12" spans="1:35">
      <c r="A12" s="572" t="s">
        <v>234</v>
      </c>
      <c r="B12" s="589" t="s">
        <v>402</v>
      </c>
      <c r="C12" s="574">
        <f ca="1">IF($E$94="No",$E$135*C11,(($E$135*$E$97/$E$96))*C11)</f>
        <v>0</v>
      </c>
      <c r="D12" s="574">
        <f ca="1">IF($E$94="No",$E$135*D11,(($E$135*$E$97/$E$96))*D11)</f>
        <v>0</v>
      </c>
      <c r="E12" s="574">
        <f ca="1">IF($E$94="No",$E$135*E11,(($E$135*$E$97/$E$96))*E11)</f>
        <v>0</v>
      </c>
      <c r="F12" s="574">
        <f ca="1">IF($E$94="No",$E$135*F11,(($E$135*$E$97/$E$96))*F11)</f>
        <v>0</v>
      </c>
      <c r="G12" s="574">
        <f ca="1">IF($E$94="No",$E$135*G11,(($E$135*$E$97/$E$96))*G11)</f>
        <v>0</v>
      </c>
      <c r="H12" s="574">
        <f t="shared" ca="1" si="12"/>
        <v>0</v>
      </c>
      <c r="I12" s="572"/>
      <c r="J12" s="577"/>
      <c r="K12" s="572"/>
      <c r="M12" s="572"/>
      <c r="N12" s="572"/>
      <c r="O12" s="582">
        <f t="shared" si="3"/>
        <v>-4</v>
      </c>
      <c r="P12" s="583">
        <f>'Meteorological data'!F12</f>
        <v>0</v>
      </c>
      <c r="Q12" s="583">
        <f>'Meteorological data'!G12</f>
        <v>0</v>
      </c>
      <c r="R12" s="584">
        <v>0</v>
      </c>
      <c r="S12" s="585">
        <f t="shared" ca="1" si="0"/>
        <v>0</v>
      </c>
      <c r="T12" s="585" t="e">
        <f t="shared" ca="1" si="4"/>
        <v>#VALUE!</v>
      </c>
      <c r="U12" s="585">
        <f t="shared" ca="1" si="5"/>
        <v>0</v>
      </c>
      <c r="V12" s="585" t="e">
        <f t="shared" ca="1" si="1"/>
        <v>#VALUE!</v>
      </c>
      <c r="W12" s="574" t="e">
        <f t="shared" ca="1" si="2"/>
        <v>#VALUE!</v>
      </c>
      <c r="X12" s="574">
        <f t="shared" ca="1" si="13"/>
        <v>0</v>
      </c>
      <c r="Y12" s="585" t="e">
        <f t="shared" ca="1" si="7"/>
        <v>#VALUE!</v>
      </c>
      <c r="Z12" s="585" t="e">
        <f t="shared" ca="1" si="8"/>
        <v>#VALUE!</v>
      </c>
      <c r="AA12" s="585" t="e">
        <f t="shared" ca="1" si="9"/>
        <v>#VALUE!</v>
      </c>
      <c r="AB12" s="585" t="e">
        <f t="shared" ca="1" si="10"/>
        <v>#VALUE!</v>
      </c>
      <c r="AC12" s="586" t="e">
        <f t="shared" ca="1" si="11"/>
        <v>#VALUE!</v>
      </c>
      <c r="AF12" s="571">
        <v>0.55000000000000004</v>
      </c>
      <c r="AG12" s="571">
        <v>0</v>
      </c>
      <c r="AH12" s="571">
        <v>0.06</v>
      </c>
      <c r="AI12" s="571">
        <v>0.19</v>
      </c>
    </row>
    <row r="13" spans="1:35">
      <c r="A13" s="571" t="s">
        <v>1</v>
      </c>
      <c r="B13" s="571" t="s">
        <v>1</v>
      </c>
      <c r="J13" s="577"/>
      <c r="O13" s="582">
        <f t="shared" si="3"/>
        <v>-3</v>
      </c>
      <c r="P13" s="583">
        <f>'Meteorological data'!F13</f>
        <v>1.3629108907339993E-3</v>
      </c>
      <c r="Q13" s="583">
        <f>'Meteorological data'!G13</f>
        <v>4.5662100456621003E-4</v>
      </c>
      <c r="R13" s="584">
        <v>4</v>
      </c>
      <c r="S13" s="585">
        <f t="shared" ca="1" si="0"/>
        <v>1.3333333333333333</v>
      </c>
      <c r="T13" s="585" t="e">
        <f t="shared" ca="1" si="4"/>
        <v>#VALUE!</v>
      </c>
      <c r="U13" s="585">
        <f t="shared" ca="1" si="5"/>
        <v>0</v>
      </c>
      <c r="V13" s="585" t="e">
        <f t="shared" ca="1" si="1"/>
        <v>#VALUE!</v>
      </c>
      <c r="W13" s="574" t="e">
        <f t="shared" ca="1" si="2"/>
        <v>#VALUE!</v>
      </c>
      <c r="X13" s="574">
        <f t="shared" ca="1" si="13"/>
        <v>0</v>
      </c>
      <c r="Y13" s="585" t="e">
        <f ca="1">V13/X13</f>
        <v>#VALUE!</v>
      </c>
      <c r="Z13" s="585" t="e">
        <f ca="1">IF((Y13-S13)&lt;0,0,(Y13-S13))</f>
        <v>#VALUE!</v>
      </c>
      <c r="AA13" s="585" t="e">
        <f t="shared" ca="1" si="9"/>
        <v>#VALUE!</v>
      </c>
      <c r="AB13" s="585" t="e">
        <f t="shared" ca="1" si="10"/>
        <v>#VALUE!</v>
      </c>
      <c r="AC13" s="586" t="e">
        <f t="shared" ca="1" si="11"/>
        <v>#VALUE!</v>
      </c>
      <c r="AF13" s="571">
        <v>0.6</v>
      </c>
      <c r="AG13" s="571">
        <v>0</v>
      </c>
      <c r="AH13" s="571">
        <v>0.03</v>
      </c>
      <c r="AI13" s="571">
        <v>0.15</v>
      </c>
    </row>
    <row r="14" spans="1:35">
      <c r="A14" s="573" t="s">
        <v>235</v>
      </c>
      <c r="C14" s="574">
        <f ca="1">E101</f>
        <v>0</v>
      </c>
      <c r="D14" s="571">
        <v>-7</v>
      </c>
      <c r="E14" s="571">
        <v>2</v>
      </c>
      <c r="F14" s="571">
        <v>7</v>
      </c>
      <c r="G14" s="571">
        <v>12</v>
      </c>
      <c r="J14" s="577"/>
      <c r="O14" s="582">
        <f t="shared" si="3"/>
        <v>-2</v>
      </c>
      <c r="P14" s="583">
        <f>'Meteorological data'!F14</f>
        <v>4.5191255850653657E-3</v>
      </c>
      <c r="Q14" s="583">
        <f>'Meteorological data'!G14</f>
        <v>1.5981735159817352E-3</v>
      </c>
      <c r="R14" s="584">
        <v>14</v>
      </c>
      <c r="S14" s="585">
        <f t="shared" ca="1" si="0"/>
        <v>4.6666666666666661</v>
      </c>
      <c r="T14" s="585" t="e">
        <f t="shared" ca="1" si="4"/>
        <v>#VALUE!</v>
      </c>
      <c r="U14" s="585">
        <f ca="1">$U$1*Q14</f>
        <v>0</v>
      </c>
      <c r="V14" s="585" t="e">
        <f t="shared" ca="1" si="1"/>
        <v>#VALUE!</v>
      </c>
      <c r="W14" s="574" t="e">
        <f t="shared" ca="1" si="2"/>
        <v>#VALUE!</v>
      </c>
      <c r="X14" s="574">
        <f t="shared" ca="1" si="13"/>
        <v>0</v>
      </c>
      <c r="Y14" s="585" t="e">
        <f ca="1">V14/X14</f>
        <v>#VALUE!</v>
      </c>
      <c r="Z14" s="585" t="e">
        <f ca="1">IF((Y14-S14)&lt;0,0,(Y14-S14))</f>
        <v>#VALUE!</v>
      </c>
      <c r="AA14" s="585" t="e">
        <f t="shared" ca="1" si="9"/>
        <v>#VALUE!</v>
      </c>
      <c r="AB14" s="585" t="e">
        <f t="shared" ca="1" si="10"/>
        <v>#VALUE!</v>
      </c>
      <c r="AC14" s="586" t="e">
        <f t="shared" ca="1" si="11"/>
        <v>#VALUE!</v>
      </c>
      <c r="AF14" s="571">
        <v>0.65</v>
      </c>
      <c r="AG14" s="571">
        <v>0</v>
      </c>
      <c r="AH14" s="571">
        <v>0.02</v>
      </c>
      <c r="AI14" s="571">
        <v>0.11</v>
      </c>
    </row>
    <row r="15" spans="1:35" ht="15.75">
      <c r="A15" s="596" t="str">
        <f ca="1">$E119&amp;" (oC)"</f>
        <v>Low Temperature (oC)</v>
      </c>
      <c r="B15" s="597" t="str">
        <f ca="1">"Based on test data according to "&amp;$E$100</f>
        <v>Based on test data according to I.S. EN 14825</v>
      </c>
      <c r="C15" s="598">
        <f ca="1">IF($E$128="Yes",IF($E$99="Variable Outlet",35,35),0)</f>
        <v>0</v>
      </c>
      <c r="D15" s="598">
        <f ca="1">IF($E$128="Yes",IF($E$99="Variable Outlet",34,35),0)</f>
        <v>0</v>
      </c>
      <c r="E15" s="598">
        <f ca="1">IF($E$128="Yes",IF($E$99="Variable Outlet",30,35),0)</f>
        <v>0</v>
      </c>
      <c r="F15" s="598">
        <f ca="1">IF($E$128="Yes",IF($E$99="Variable Outlet",27,35),0)</f>
        <v>0</v>
      </c>
      <c r="G15" s="599">
        <f ca="1">IF($E$128="Yes",IF($E$99="Variable Outlet",24,35),0)</f>
        <v>0</v>
      </c>
      <c r="I15" s="49"/>
      <c r="J15" s="577"/>
      <c r="K15" s="572"/>
      <c r="M15" s="572"/>
      <c r="O15" s="582">
        <f t="shared" si="3"/>
        <v>-1</v>
      </c>
      <c r="P15" s="583">
        <f>'Meteorological data'!F15</f>
        <v>1.3413912450908309E-2</v>
      </c>
      <c r="Q15" s="583">
        <f>'Meteorological data'!G15</f>
        <v>5.0228310502283104E-3</v>
      </c>
      <c r="R15" s="584">
        <v>44</v>
      </c>
      <c r="S15" s="585">
        <f t="shared" ca="1" si="0"/>
        <v>14.666666666666666</v>
      </c>
      <c r="T15" s="585" t="e">
        <f t="shared" ca="1" si="4"/>
        <v>#VALUE!</v>
      </c>
      <c r="U15" s="585">
        <f t="shared" ca="1" si="5"/>
        <v>0</v>
      </c>
      <c r="V15" s="585" t="e">
        <f t="shared" ca="1" si="1"/>
        <v>#VALUE!</v>
      </c>
      <c r="W15" s="574" t="e">
        <f t="shared" ca="1" si="2"/>
        <v>#VALUE!</v>
      </c>
      <c r="X15" s="574">
        <f t="shared" ca="1" si="13"/>
        <v>0</v>
      </c>
      <c r="Y15" s="585" t="e">
        <f t="shared" ca="1" si="7"/>
        <v>#VALUE!</v>
      </c>
      <c r="Z15" s="585" t="e">
        <f ca="1">IF((Y15-S15)&lt;0,0,(Y15-S15))</f>
        <v>#VALUE!</v>
      </c>
      <c r="AA15" s="585" t="e">
        <f t="shared" ca="1" si="9"/>
        <v>#VALUE!</v>
      </c>
      <c r="AB15" s="585" t="e">
        <f t="shared" ca="1" si="10"/>
        <v>#VALUE!</v>
      </c>
      <c r="AC15" s="586" t="e">
        <f t="shared" ca="1" si="11"/>
        <v>#VALUE!</v>
      </c>
      <c r="AF15" s="571">
        <v>0.7</v>
      </c>
      <c r="AG15" s="571">
        <v>0</v>
      </c>
      <c r="AH15" s="571">
        <v>0.01</v>
      </c>
      <c r="AI15" s="571">
        <v>0.09</v>
      </c>
    </row>
    <row r="16" spans="1:35" ht="15.75">
      <c r="A16" s="589" t="str">
        <f t="shared" ref="A16:A18" ca="1" si="14">$E120&amp;" (oC)"</f>
        <v>Medium Temperature (oC)</v>
      </c>
      <c r="B16" s="600" t="str">
        <f ca="1">$B$15</f>
        <v>Based on test data according to I.S. EN 14825</v>
      </c>
      <c r="C16" s="601">
        <f ca="1">IF($E$129="Yes",IF($E$99="Variable Outlet",45,45),0)</f>
        <v>0</v>
      </c>
      <c r="D16" s="601">
        <f ca="1">IF($E$129="Yes",IF($E$99="Variable Outlet",43,45),0)</f>
        <v>0</v>
      </c>
      <c r="E16" s="601">
        <f ca="1">IF($E$129="Yes",IF($E$99="Variable Outlet",37,45),0)</f>
        <v>0</v>
      </c>
      <c r="F16" s="601">
        <f ca="1">IF($E$129="Yes",IF($E$99="Variable Outlet",33,45),0)</f>
        <v>0</v>
      </c>
      <c r="G16" s="602">
        <f ca="1">IF($E$129="Yes",IF($E$99="Variable Outlet",28,45),0)</f>
        <v>0</v>
      </c>
      <c r="I16" s="49"/>
      <c r="J16" s="577"/>
      <c r="O16" s="582">
        <f t="shared" si="3"/>
        <v>0</v>
      </c>
      <c r="P16" s="583">
        <f>'Meteorological data'!F16</f>
        <v>3.2136004160464825E-2</v>
      </c>
      <c r="Q16" s="583">
        <f>'Meteorological data'!G16</f>
        <v>1.2785388127853882E-2</v>
      </c>
      <c r="R16" s="584">
        <v>112</v>
      </c>
      <c r="S16" s="585">
        <f t="shared" ca="1" si="0"/>
        <v>37.333333333333329</v>
      </c>
      <c r="T16" s="585" t="e">
        <f t="shared" ca="1" si="4"/>
        <v>#VALUE!</v>
      </c>
      <c r="U16" s="585">
        <f ca="1">$U$1*Q16</f>
        <v>0</v>
      </c>
      <c r="V16" s="585" t="e">
        <f t="shared" ca="1" si="1"/>
        <v>#VALUE!</v>
      </c>
      <c r="W16" s="574" t="e">
        <f t="shared" ca="1" si="2"/>
        <v>#VALUE!</v>
      </c>
      <c r="X16" s="574">
        <f t="shared" ca="1" si="13"/>
        <v>0</v>
      </c>
      <c r="Y16" s="585" t="e">
        <f ca="1">V16/X16</f>
        <v>#VALUE!</v>
      </c>
      <c r="Z16" s="585" t="e">
        <f ca="1">IF((Y16-S16)&lt;0,0,(Y16-S16))</f>
        <v>#VALUE!</v>
      </c>
      <c r="AA16" s="585" t="e">
        <f t="shared" ca="1" si="9"/>
        <v>#VALUE!</v>
      </c>
      <c r="AB16" s="585" t="e">
        <f t="shared" ca="1" si="10"/>
        <v>#VALUE!</v>
      </c>
      <c r="AC16" s="586" t="e">
        <f t="shared" ca="1" si="11"/>
        <v>#VALUE!</v>
      </c>
      <c r="AF16" s="571">
        <v>0.75</v>
      </c>
      <c r="AG16" s="571">
        <v>0</v>
      </c>
      <c r="AH16" s="571">
        <v>0</v>
      </c>
      <c r="AI16" s="571">
        <v>0.05</v>
      </c>
    </row>
    <row r="17" spans="1:35" ht="27.75" customHeight="1">
      <c r="A17" s="589" t="str">
        <f t="shared" ca="1" si="14"/>
        <v>High Temperature (oC)</v>
      </c>
      <c r="B17" s="600" t="str">
        <f ca="1">$B$15</f>
        <v>Based on test data according to I.S. EN 14825</v>
      </c>
      <c r="C17" s="601">
        <f ca="1">IF($E$127="Yes",IF($E$99="Variable Outlet",55,55),0)</f>
        <v>55</v>
      </c>
      <c r="D17" s="601">
        <f ca="1">IF($E$127="Yes",IF($E$99="Variable Outlet",52,55),0)</f>
        <v>55</v>
      </c>
      <c r="E17" s="601">
        <f ca="1">IF($E$127="Yes",IF($E$99="Variable Outlet",42,55),0)</f>
        <v>55</v>
      </c>
      <c r="F17" s="601">
        <f ca="1">IF($E$127="Yes",IF($E$99="Variable Outlet",36,55),0)</f>
        <v>55</v>
      </c>
      <c r="G17" s="602">
        <f ca="1">IF($E$127="Yes",IF($E$99="Variable Outlet",30,55),0)</f>
        <v>55</v>
      </c>
      <c r="I17" s="49" t="s">
        <v>434</v>
      </c>
      <c r="J17" s="577"/>
      <c r="O17" s="582">
        <f t="shared" si="3"/>
        <v>1</v>
      </c>
      <c r="P17" s="583">
        <f>'Meteorological data'!F17</f>
        <v>3.927335329878235E-2</v>
      </c>
      <c r="Q17" s="583">
        <f>'Meteorological data'!G17</f>
        <v>1.6666666666666666E-2</v>
      </c>
      <c r="R17" s="584">
        <v>146</v>
      </c>
      <c r="S17" s="585">
        <f t="shared" ca="1" si="0"/>
        <v>48.666666666666664</v>
      </c>
      <c r="T17" s="585" t="e">
        <f t="shared" ca="1" si="4"/>
        <v>#VALUE!</v>
      </c>
      <c r="U17" s="585">
        <f t="shared" ca="1" si="5"/>
        <v>0</v>
      </c>
      <c r="V17" s="585" t="e">
        <f t="shared" ca="1" si="1"/>
        <v>#VALUE!</v>
      </c>
      <c r="W17" s="574" t="e">
        <f t="shared" ca="1" si="2"/>
        <v>#VALUE!</v>
      </c>
      <c r="X17" s="574">
        <f t="shared" ca="1" si="13"/>
        <v>0</v>
      </c>
      <c r="Y17" s="585" t="e">
        <f t="shared" ref="Y17:Y31" ca="1" si="15">V17/X17</f>
        <v>#VALUE!</v>
      </c>
      <c r="Z17" s="585" t="e">
        <f ca="1">IF((Y17-S17)&lt;0,0,(Y17-S17))</f>
        <v>#VALUE!</v>
      </c>
      <c r="AA17" s="585" t="e">
        <f t="shared" ca="1" si="9"/>
        <v>#VALUE!</v>
      </c>
      <c r="AB17" s="585" t="e">
        <f t="shared" ca="1" si="10"/>
        <v>#VALUE!</v>
      </c>
      <c r="AC17" s="586" t="e">
        <f t="shared" ca="1" si="11"/>
        <v>#VALUE!</v>
      </c>
      <c r="AF17" s="571">
        <v>0.8</v>
      </c>
      <c r="AG17" s="571">
        <v>0</v>
      </c>
      <c r="AH17" s="571">
        <v>0</v>
      </c>
      <c r="AI17" s="571">
        <v>0.05</v>
      </c>
    </row>
    <row r="18" spans="1:35" ht="15.75">
      <c r="A18" s="603" t="str">
        <f t="shared" ca="1" si="14"/>
        <v>Very high Temperature (oC)</v>
      </c>
      <c r="B18" s="600" t="str">
        <f ca="1">$B$15</f>
        <v>Based on test data according to I.S. EN 14825</v>
      </c>
      <c r="C18" s="604">
        <f ca="1">IF($E$130="Yes",65,0)</f>
        <v>0</v>
      </c>
      <c r="D18" s="604">
        <f ca="1">IF($E$130="Yes",IF($E$99="Variable Outlet",61,65),0)</f>
        <v>0</v>
      </c>
      <c r="E18" s="604">
        <f ca="1">IF($E$130="Yes",IF($E$99="Variable Outlet",49,65),0)</f>
        <v>0</v>
      </c>
      <c r="F18" s="604">
        <f ca="1">IF($E$130="Yes",IF($E$99="Variable Outlet",41,65),0)</f>
        <v>0</v>
      </c>
      <c r="G18" s="605">
        <f ca="1">IF($E$130="Yes",IF($E$99="Variable Outlet",32,65),0)</f>
        <v>0</v>
      </c>
      <c r="I18" s="50"/>
      <c r="J18" s="577"/>
      <c r="K18" s="572"/>
      <c r="M18" s="572"/>
      <c r="O18" s="590">
        <f t="shared" si="3"/>
        <v>2</v>
      </c>
      <c r="P18" s="591">
        <f>'Meteorological data'!F18</f>
        <v>5.5735882215806179E-2</v>
      </c>
      <c r="Q18" s="591">
        <f>'Meteorological data'!G18</f>
        <v>2.5342465753424658E-2</v>
      </c>
      <c r="R18" s="592">
        <v>222</v>
      </c>
      <c r="S18" s="593">
        <f t="shared" ca="1" si="0"/>
        <v>74</v>
      </c>
      <c r="T18" s="593" t="e">
        <f t="shared" ca="1" si="4"/>
        <v>#VALUE!</v>
      </c>
      <c r="U18" s="593">
        <f t="shared" ca="1" si="5"/>
        <v>0</v>
      </c>
      <c r="V18" s="585" t="e">
        <f t="shared" ca="1" si="1"/>
        <v>#VALUE!</v>
      </c>
      <c r="W18" s="594" t="e">
        <f t="shared" ca="1" si="2"/>
        <v>#VALUE!</v>
      </c>
      <c r="X18" s="594">
        <f ca="1">E41</f>
        <v>0</v>
      </c>
      <c r="Y18" s="593" t="e">
        <f ca="1">V18/X18</f>
        <v>#VALUE!</v>
      </c>
      <c r="Z18" s="593" t="e">
        <f t="shared" ca="1" si="8"/>
        <v>#VALUE!</v>
      </c>
      <c r="AA18" s="593" t="e">
        <f t="shared" ca="1" si="9"/>
        <v>#VALUE!</v>
      </c>
      <c r="AB18" s="585" t="e">
        <f t="shared" ca="1" si="10"/>
        <v>#VALUE!</v>
      </c>
      <c r="AC18" s="586" t="e">
        <f t="shared" ca="1" si="11"/>
        <v>#VALUE!</v>
      </c>
      <c r="AF18" s="571">
        <v>0.85</v>
      </c>
      <c r="AG18" s="571">
        <v>0</v>
      </c>
      <c r="AH18" s="571">
        <v>0</v>
      </c>
      <c r="AI18" s="571">
        <v>0.03</v>
      </c>
    </row>
    <row r="19" spans="1:35" ht="15.75">
      <c r="A19" s="596" t="str">
        <f ca="1">$E119&amp;" COP  (kW/kW)"</f>
        <v>Low Temperature COP  (kW/kW)</v>
      </c>
      <c r="B19" s="597" t="str">
        <f t="shared" ref="B19:B26" ca="1" si="16">$B$15</f>
        <v>Based on test data according to I.S. EN 14825</v>
      </c>
      <c r="C19" s="606">
        <f ca="1">INDEX($C$154:$G$161,MATCH($A19,$A$154:$A$161,0),MATCH(C$27,$C$152:$G$152,0))</f>
        <v>0</v>
      </c>
      <c r="D19" s="606">
        <f t="shared" ref="D19:G26" ca="1" si="17">INDEX($C$154:$G$161,MATCH($A19,$A$154:$A$161,0),MATCH(D$27,$C$152:$G$152,0))</f>
        <v>0</v>
      </c>
      <c r="E19" s="606">
        <f t="shared" ca="1" si="17"/>
        <v>0</v>
      </c>
      <c r="F19" s="606">
        <f t="shared" ca="1" si="17"/>
        <v>0</v>
      </c>
      <c r="G19" s="607">
        <f t="shared" ca="1" si="17"/>
        <v>0</v>
      </c>
      <c r="I19" s="49" t="s">
        <v>435</v>
      </c>
      <c r="J19" s="577"/>
      <c r="K19" s="572"/>
      <c r="M19" s="572"/>
      <c r="O19" s="582">
        <f t="shared" si="3"/>
        <v>3</v>
      </c>
      <c r="P19" s="583">
        <f>'Meteorological data'!F19</f>
        <v>7.5300826713053465E-2</v>
      </c>
      <c r="Q19" s="583">
        <f>'Meteorological data'!G19</f>
        <v>3.6872146118721458E-2</v>
      </c>
      <c r="R19" s="584">
        <v>323</v>
      </c>
      <c r="S19" s="585">
        <f t="shared" ca="1" si="0"/>
        <v>107.66666666666666</v>
      </c>
      <c r="T19" s="585" t="e">
        <f t="shared" ca="1" si="4"/>
        <v>#VALUE!</v>
      </c>
      <c r="U19" s="585">
        <f t="shared" ca="1" si="5"/>
        <v>0</v>
      </c>
      <c r="V19" s="585" t="e">
        <f t="shared" ca="1" si="1"/>
        <v>#VALUE!</v>
      </c>
      <c r="W19" s="574" t="e">
        <f t="shared" ca="1" si="2"/>
        <v>#VALUE!</v>
      </c>
      <c r="X19" s="574">
        <f ca="1">(($X$23-$X$18)/($O$23-$O$18))*(O19-$O$18)+$X$18</f>
        <v>0</v>
      </c>
      <c r="Y19" s="585" t="e">
        <f ca="1">V19/X19</f>
        <v>#VALUE!</v>
      </c>
      <c r="Z19" s="585" t="e">
        <f ca="1">IF((Y19-S19)&lt;0,0,(Y19-S19))</f>
        <v>#VALUE!</v>
      </c>
      <c r="AA19" s="585" t="e">
        <f t="shared" ca="1" si="9"/>
        <v>#VALUE!</v>
      </c>
      <c r="AB19" s="585" t="e">
        <f t="shared" ca="1" si="10"/>
        <v>#VALUE!</v>
      </c>
      <c r="AC19" s="586" t="e">
        <f t="shared" ca="1" si="11"/>
        <v>#VALUE!</v>
      </c>
      <c r="AF19" s="571">
        <v>0.9</v>
      </c>
      <c r="AG19" s="571">
        <v>0</v>
      </c>
      <c r="AH19" s="571">
        <v>0</v>
      </c>
      <c r="AI19" s="571">
        <v>0.02</v>
      </c>
    </row>
    <row r="20" spans="1:35" ht="15.75">
      <c r="A20" s="589" t="str">
        <f t="shared" ref="A20:A22" ca="1" si="18">$E120&amp;" COP  (kW/kW)"</f>
        <v>Medium Temperature COP  (kW/kW)</v>
      </c>
      <c r="B20" s="600" t="str">
        <f t="shared" ca="1" si="16"/>
        <v>Based on test data according to I.S. EN 14825</v>
      </c>
      <c r="C20" s="608">
        <f t="shared" ref="C20:C26" ca="1" si="19">INDEX($C$154:$G$161,MATCH($A20,$A$154:$A$161,0),MATCH(C$27,$C$152:$G$152,0))</f>
        <v>0</v>
      </c>
      <c r="D20" s="608">
        <f t="shared" ca="1" si="17"/>
        <v>0</v>
      </c>
      <c r="E20" s="608">
        <f t="shared" ca="1" si="17"/>
        <v>0</v>
      </c>
      <c r="F20" s="608">
        <f t="shared" ca="1" si="17"/>
        <v>0</v>
      </c>
      <c r="G20" s="609">
        <f t="shared" ca="1" si="17"/>
        <v>0</v>
      </c>
      <c r="I20" s="49" t="s">
        <v>435</v>
      </c>
      <c r="J20" s="577"/>
      <c r="O20" s="582">
        <f t="shared" si="3"/>
        <v>4</v>
      </c>
      <c r="P20" s="583">
        <f>'Meteorological data'!F20</f>
        <v>8.6078582572673631E-2</v>
      </c>
      <c r="Q20" s="583">
        <f>'Meteorological data'!G20</f>
        <v>4.5662100456621002E-2</v>
      </c>
      <c r="R20" s="584">
        <v>400</v>
      </c>
      <c r="S20" s="585">
        <f t="shared" ca="1" si="0"/>
        <v>133.33333333333331</v>
      </c>
      <c r="T20" s="585" t="e">
        <f t="shared" ca="1" si="4"/>
        <v>#VALUE!</v>
      </c>
      <c r="U20" s="585">
        <f t="shared" ca="1" si="5"/>
        <v>0</v>
      </c>
      <c r="V20" s="585" t="e">
        <f t="shared" ca="1" si="1"/>
        <v>#VALUE!</v>
      </c>
      <c r="W20" s="574" t="e">
        <f t="shared" ca="1" si="2"/>
        <v>#VALUE!</v>
      </c>
      <c r="X20" s="574">
        <f t="shared" ref="X20:X22" ca="1" si="20">(($X$23-$X$18)/($O$23-$O$18))*(O20-$O$18)+$X$18</f>
        <v>0</v>
      </c>
      <c r="Y20" s="585" t="e">
        <f t="shared" ca="1" si="15"/>
        <v>#VALUE!</v>
      </c>
      <c r="Z20" s="585" t="e">
        <f t="shared" ca="1" si="8"/>
        <v>#VALUE!</v>
      </c>
      <c r="AA20" s="585" t="e">
        <f t="shared" ca="1" si="9"/>
        <v>#VALUE!</v>
      </c>
      <c r="AB20" s="585" t="e">
        <f t="shared" ca="1" si="10"/>
        <v>#VALUE!</v>
      </c>
      <c r="AC20" s="586" t="e">
        <f t="shared" ca="1" si="11"/>
        <v>#VALUE!</v>
      </c>
      <c r="AF20" s="571">
        <v>0.95</v>
      </c>
      <c r="AG20" s="571">
        <v>0</v>
      </c>
      <c r="AH20" s="571">
        <v>0</v>
      </c>
      <c r="AI20" s="571">
        <v>0.01</v>
      </c>
    </row>
    <row r="21" spans="1:35" ht="15.75">
      <c r="A21" s="589" t="str">
        <f t="shared" ca="1" si="18"/>
        <v>High Temperature COP  (kW/kW)</v>
      </c>
      <c r="B21" s="600" t="str">
        <f t="shared" ca="1" si="16"/>
        <v>Based on test data according to I.S. EN 14825</v>
      </c>
      <c r="C21" s="608">
        <f t="shared" ca="1" si="19"/>
        <v>0</v>
      </c>
      <c r="D21" s="608">
        <f t="shared" ca="1" si="17"/>
        <v>0</v>
      </c>
      <c r="E21" s="608">
        <f t="shared" ca="1" si="17"/>
        <v>0</v>
      </c>
      <c r="F21" s="608">
        <f t="shared" ca="1" si="17"/>
        <v>0</v>
      </c>
      <c r="G21" s="609">
        <f t="shared" ca="1" si="17"/>
        <v>0</v>
      </c>
      <c r="I21" s="49" t="s">
        <v>435</v>
      </c>
      <c r="J21" s="577"/>
      <c r="O21" s="582">
        <f t="shared" si="3"/>
        <v>5</v>
      </c>
      <c r="P21" s="583">
        <f>'Meteorological data'!F21</f>
        <v>8.7979484604486846E-2</v>
      </c>
      <c r="Q21" s="583">
        <f>'Meteorological data'!G21</f>
        <v>5.0913242009132421E-2</v>
      </c>
      <c r="R21" s="584">
        <v>446</v>
      </c>
      <c r="S21" s="585">
        <f t="shared" ca="1" si="0"/>
        <v>148.66666666666666</v>
      </c>
      <c r="T21" s="585" t="e">
        <f t="shared" ca="1" si="4"/>
        <v>#VALUE!</v>
      </c>
      <c r="U21" s="585">
        <f t="shared" ca="1" si="5"/>
        <v>0</v>
      </c>
      <c r="V21" s="585" t="e">
        <f t="shared" ca="1" si="1"/>
        <v>#VALUE!</v>
      </c>
      <c r="W21" s="574" t="e">
        <f t="shared" ca="1" si="2"/>
        <v>#VALUE!</v>
      </c>
      <c r="X21" s="574">
        <f t="shared" ca="1" si="20"/>
        <v>0</v>
      </c>
      <c r="Y21" s="585" t="e">
        <f t="shared" ca="1" si="15"/>
        <v>#VALUE!</v>
      </c>
      <c r="Z21" s="585" t="e">
        <f t="shared" ca="1" si="8"/>
        <v>#VALUE!</v>
      </c>
      <c r="AA21" s="585" t="e">
        <f t="shared" ca="1" si="9"/>
        <v>#VALUE!</v>
      </c>
      <c r="AB21" s="585" t="e">
        <f t="shared" ca="1" si="10"/>
        <v>#VALUE!</v>
      </c>
      <c r="AC21" s="586" t="e">
        <f t="shared" ca="1" si="11"/>
        <v>#VALUE!</v>
      </c>
      <c r="AF21" s="571">
        <v>1</v>
      </c>
      <c r="AG21" s="571">
        <v>0</v>
      </c>
      <c r="AH21" s="571">
        <v>0</v>
      </c>
      <c r="AI21" s="571">
        <v>0.01</v>
      </c>
    </row>
    <row r="22" spans="1:35" ht="15.75">
      <c r="A22" s="603" t="str">
        <f t="shared" ca="1" si="18"/>
        <v>Very high Temperature COP  (kW/kW)</v>
      </c>
      <c r="B22" s="600" t="str">
        <f t="shared" ca="1" si="16"/>
        <v>Based on test data according to I.S. EN 14825</v>
      </c>
      <c r="C22" s="610">
        <f t="shared" ca="1" si="19"/>
        <v>0</v>
      </c>
      <c r="D22" s="610">
        <f t="shared" ca="1" si="17"/>
        <v>0</v>
      </c>
      <c r="E22" s="610">
        <f t="shared" ca="1" si="17"/>
        <v>0</v>
      </c>
      <c r="F22" s="610">
        <f t="shared" ca="1" si="17"/>
        <v>0</v>
      </c>
      <c r="G22" s="611">
        <f t="shared" ca="1" si="17"/>
        <v>0</v>
      </c>
      <c r="I22" s="49" t="s">
        <v>435</v>
      </c>
      <c r="J22" s="577"/>
      <c r="O22" s="582">
        <f t="shared" si="3"/>
        <v>6</v>
      </c>
      <c r="P22" s="583">
        <f>'Meteorological data'!F22</f>
        <v>9.7735057296056527E-2</v>
      </c>
      <c r="Q22" s="583">
        <f>'Meteorological data'!G22</f>
        <v>6.2214611872146115E-2</v>
      </c>
      <c r="R22" s="584">
        <v>545</v>
      </c>
      <c r="S22" s="585">
        <f t="shared" ca="1" si="0"/>
        <v>181.66666666666666</v>
      </c>
      <c r="T22" s="585" t="e">
        <f t="shared" ca="1" si="4"/>
        <v>#VALUE!</v>
      </c>
      <c r="U22" s="585">
        <f t="shared" ca="1" si="5"/>
        <v>0</v>
      </c>
      <c r="V22" s="585" t="e">
        <f t="shared" ca="1" si="1"/>
        <v>#VALUE!</v>
      </c>
      <c r="W22" s="574" t="e">
        <f t="shared" ca="1" si="2"/>
        <v>#VALUE!</v>
      </c>
      <c r="X22" s="574">
        <f t="shared" ca="1" si="20"/>
        <v>0</v>
      </c>
      <c r="Y22" s="585" t="e">
        <f t="shared" ca="1" si="15"/>
        <v>#VALUE!</v>
      </c>
      <c r="Z22" s="585" t="e">
        <f t="shared" ca="1" si="8"/>
        <v>#VALUE!</v>
      </c>
      <c r="AA22" s="585" t="e">
        <f t="shared" ca="1" si="9"/>
        <v>#VALUE!</v>
      </c>
      <c r="AB22" s="585" t="e">
        <f t="shared" ca="1" si="10"/>
        <v>#VALUE!</v>
      </c>
      <c r="AC22" s="586" t="e">
        <f t="shared" ca="1" si="11"/>
        <v>#VALUE!</v>
      </c>
      <c r="AF22" s="571">
        <v>1.05</v>
      </c>
      <c r="AG22" s="571">
        <v>0</v>
      </c>
      <c r="AH22" s="571">
        <v>0</v>
      </c>
      <c r="AI22" s="571">
        <v>0</v>
      </c>
    </row>
    <row r="23" spans="1:35" ht="15.75">
      <c r="A23" s="596" t="str">
        <f ca="1">$E119&amp;" Heating Capacity (kW)"</f>
        <v>Low Temperature Heating Capacity (kW)</v>
      </c>
      <c r="B23" s="597" t="str">
        <f t="shared" ca="1" si="16"/>
        <v>Based on test data according to I.S. EN 14825</v>
      </c>
      <c r="C23" s="606">
        <f t="shared" ca="1" si="19"/>
        <v>0</v>
      </c>
      <c r="D23" s="606">
        <f t="shared" ca="1" si="17"/>
        <v>0</v>
      </c>
      <c r="E23" s="606">
        <f t="shared" ca="1" si="17"/>
        <v>0</v>
      </c>
      <c r="F23" s="606">
        <f t="shared" ca="1" si="17"/>
        <v>0</v>
      </c>
      <c r="G23" s="607">
        <f t="shared" ca="1" si="17"/>
        <v>0</v>
      </c>
      <c r="I23" s="49" t="s">
        <v>436</v>
      </c>
      <c r="J23" s="577"/>
      <c r="K23" s="572"/>
      <c r="M23" s="572"/>
      <c r="O23" s="590">
        <f t="shared" si="3"/>
        <v>7</v>
      </c>
      <c r="P23" s="591">
        <f>'Meteorological data'!F23</f>
        <v>9.7322597421229132E-2</v>
      </c>
      <c r="Q23" s="591">
        <f>'Meteorological data'!G23</f>
        <v>6.8835616438356159E-2</v>
      </c>
      <c r="R23" s="592">
        <v>603</v>
      </c>
      <c r="S23" s="593">
        <f t="shared" ca="1" si="0"/>
        <v>201</v>
      </c>
      <c r="T23" s="593" t="e">
        <f t="shared" ca="1" si="4"/>
        <v>#VALUE!</v>
      </c>
      <c r="U23" s="593">
        <f t="shared" ca="1" si="5"/>
        <v>0</v>
      </c>
      <c r="V23" s="585" t="e">
        <f t="shared" ca="1" si="1"/>
        <v>#VALUE!</v>
      </c>
      <c r="W23" s="594" t="e">
        <f t="shared" ca="1" si="2"/>
        <v>#VALUE!</v>
      </c>
      <c r="X23" s="594">
        <f ca="1">F41</f>
        <v>0</v>
      </c>
      <c r="Y23" s="593" t="e">
        <f t="shared" ca="1" si="15"/>
        <v>#VALUE!</v>
      </c>
      <c r="Z23" s="593" t="e">
        <f t="shared" ca="1" si="8"/>
        <v>#VALUE!</v>
      </c>
      <c r="AA23" s="593" t="e">
        <f t="shared" ca="1" si="9"/>
        <v>#VALUE!</v>
      </c>
      <c r="AB23" s="593" t="e">
        <f t="shared" ca="1" si="10"/>
        <v>#VALUE!</v>
      </c>
      <c r="AC23" s="595" t="e">
        <f t="shared" ca="1" si="11"/>
        <v>#VALUE!</v>
      </c>
    </row>
    <row r="24" spans="1:35" ht="15.75">
      <c r="A24" s="589" t="str">
        <f t="shared" ref="A24:A26" ca="1" si="21">$E120&amp;" Heating Capacity (kW)"</f>
        <v>Medium Temperature Heating Capacity (kW)</v>
      </c>
      <c r="B24" s="600" t="str">
        <f t="shared" ca="1" si="16"/>
        <v>Based on test data according to I.S. EN 14825</v>
      </c>
      <c r="C24" s="608">
        <f t="shared" ca="1" si="19"/>
        <v>0</v>
      </c>
      <c r="D24" s="608">
        <f t="shared" ca="1" si="17"/>
        <v>0</v>
      </c>
      <c r="E24" s="608">
        <f t="shared" ca="1" si="17"/>
        <v>0</v>
      </c>
      <c r="F24" s="608">
        <f t="shared" ca="1" si="17"/>
        <v>0</v>
      </c>
      <c r="G24" s="609">
        <f t="shared" ca="1" si="17"/>
        <v>0</v>
      </c>
      <c r="I24" s="49" t="s">
        <v>436</v>
      </c>
      <c r="J24" s="577"/>
      <c r="K24" s="572"/>
      <c r="M24" s="572"/>
      <c r="O24" s="582">
        <f t="shared" si="3"/>
        <v>8</v>
      </c>
      <c r="P24" s="583">
        <f>'Meteorological data'!F24</f>
        <v>9.4399512221365417E-2</v>
      </c>
      <c r="Q24" s="583">
        <f>'Meteorological data'!G24</f>
        <v>7.5114155251141554E-2</v>
      </c>
      <c r="R24" s="584">
        <v>658</v>
      </c>
      <c r="S24" s="585">
        <f t="shared" ca="1" si="0"/>
        <v>219.33333333333331</v>
      </c>
      <c r="T24" s="585" t="e">
        <f t="shared" ca="1" si="4"/>
        <v>#VALUE!</v>
      </c>
      <c r="U24" s="585">
        <f t="shared" ca="1" si="5"/>
        <v>0</v>
      </c>
      <c r="V24" s="585" t="e">
        <f t="shared" ca="1" si="1"/>
        <v>#VALUE!</v>
      </c>
      <c r="W24" s="574" t="e">
        <f t="shared" ca="1" si="2"/>
        <v>#VALUE!</v>
      </c>
      <c r="X24" s="574">
        <f ca="1">(($X$28-$X$23)/($O$28-$O$23))*(O24-$O$23)+$X$23</f>
        <v>0</v>
      </c>
      <c r="Y24" s="585" t="e">
        <f t="shared" ca="1" si="15"/>
        <v>#VALUE!</v>
      </c>
      <c r="Z24" s="585" t="e">
        <f t="shared" ca="1" si="8"/>
        <v>#VALUE!</v>
      </c>
      <c r="AA24" s="585" t="e">
        <f t="shared" ca="1" si="9"/>
        <v>#VALUE!</v>
      </c>
      <c r="AB24" s="585" t="e">
        <f t="shared" ca="1" si="10"/>
        <v>#VALUE!</v>
      </c>
      <c r="AC24" s="586" t="e">
        <f t="shared" ca="1" si="11"/>
        <v>#VALUE!</v>
      </c>
      <c r="AG24" s="583" t="e">
        <f ca="1">IF($J$47&lt;0.5,3.9048*$J$47^2-4.018*$J$47+1.045,0)</f>
        <v>#VALUE!</v>
      </c>
      <c r="AH24" s="583" t="e">
        <f ca="1">IF($J$47&lt;0.7,2.0699*$J$47^2-2.8993*$J$47+1.0265,0)</f>
        <v>#VALUE!</v>
      </c>
      <c r="AI24" s="583" t="e">
        <f ca="1">IF($J$47&lt;1,1.1182*$J$47^2-2.1276*$J$47+1.0252,0)</f>
        <v>#VALUE!</v>
      </c>
    </row>
    <row r="25" spans="1:35" ht="15.75">
      <c r="A25" s="589" t="str">
        <f t="shared" ca="1" si="21"/>
        <v>High Temperature Heating Capacity (kW)</v>
      </c>
      <c r="B25" s="600" t="str">
        <f t="shared" ca="1" si="16"/>
        <v>Based on test data according to I.S. EN 14825</v>
      </c>
      <c r="C25" s="608">
        <f t="shared" ca="1" si="19"/>
        <v>0</v>
      </c>
      <c r="D25" s="608">
        <f t="shared" ca="1" si="17"/>
        <v>0</v>
      </c>
      <c r="E25" s="608">
        <f t="shared" ca="1" si="17"/>
        <v>0</v>
      </c>
      <c r="F25" s="608">
        <f t="shared" ca="1" si="17"/>
        <v>0</v>
      </c>
      <c r="G25" s="609">
        <f t="shared" ca="1" si="17"/>
        <v>0</v>
      </c>
      <c r="I25" s="49" t="s">
        <v>436</v>
      </c>
      <c r="J25" s="577"/>
      <c r="K25" s="572"/>
      <c r="M25" s="572"/>
      <c r="O25" s="582">
        <f t="shared" si="3"/>
        <v>9</v>
      </c>
      <c r="P25" s="583">
        <f>'Meteorological data'!F25</f>
        <v>8.5486792317486501E-2</v>
      </c>
      <c r="Q25" s="583">
        <f>'Meteorological data'!G25</f>
        <v>7.773972602739726E-2</v>
      </c>
      <c r="R25" s="584">
        <v>681</v>
      </c>
      <c r="S25" s="585">
        <f t="shared" ca="1" si="0"/>
        <v>227</v>
      </c>
      <c r="T25" s="585" t="e">
        <f t="shared" ca="1" si="4"/>
        <v>#VALUE!</v>
      </c>
      <c r="U25" s="585">
        <f t="shared" ca="1" si="5"/>
        <v>0</v>
      </c>
      <c r="V25" s="585" t="e">
        <f t="shared" ca="1" si="1"/>
        <v>#VALUE!</v>
      </c>
      <c r="W25" s="574" t="e">
        <f t="shared" ca="1" si="2"/>
        <v>#VALUE!</v>
      </c>
      <c r="X25" s="574">
        <f t="shared" ref="X25:X30" ca="1" si="22">(($X$28-$X$23)/($O$28-$O$23))*(O25-$O$23)+$X$23</f>
        <v>0</v>
      </c>
      <c r="Y25" s="585" t="e">
        <f t="shared" ca="1" si="15"/>
        <v>#VALUE!</v>
      </c>
      <c r="Z25" s="585" t="e">
        <f t="shared" ca="1" si="8"/>
        <v>#VALUE!</v>
      </c>
      <c r="AA25" s="585" t="e">
        <f t="shared" ca="1" si="9"/>
        <v>#VALUE!</v>
      </c>
      <c r="AB25" s="585" t="e">
        <f t="shared" ca="1" si="10"/>
        <v>#VALUE!</v>
      </c>
      <c r="AC25" s="586" t="e">
        <f t="shared" ca="1" si="11"/>
        <v>#VALUE!</v>
      </c>
    </row>
    <row r="26" spans="1:35" ht="15.75">
      <c r="A26" s="603" t="str">
        <f t="shared" ca="1" si="21"/>
        <v>Very high Temperature Heating Capacity (kW)</v>
      </c>
      <c r="B26" s="600" t="str">
        <f t="shared" ca="1" si="16"/>
        <v>Based on test data according to I.S. EN 14825</v>
      </c>
      <c r="C26" s="610">
        <f t="shared" ca="1" si="19"/>
        <v>0</v>
      </c>
      <c r="D26" s="610">
        <f t="shared" ca="1" si="17"/>
        <v>0</v>
      </c>
      <c r="E26" s="610">
        <f t="shared" ca="1" si="17"/>
        <v>0</v>
      </c>
      <c r="F26" s="610">
        <f t="shared" ca="1" si="17"/>
        <v>0</v>
      </c>
      <c r="G26" s="611">
        <f t="shared" ca="1" si="17"/>
        <v>0</v>
      </c>
      <c r="I26" s="49" t="s">
        <v>436</v>
      </c>
      <c r="J26" s="578"/>
      <c r="O26" s="582">
        <f t="shared" si="3"/>
        <v>10</v>
      </c>
      <c r="P26" s="583">
        <f>'Meteorological data'!F26</f>
        <v>6.875526782992307E-2</v>
      </c>
      <c r="Q26" s="583">
        <f>'Meteorological data'!G26</f>
        <v>7.294520547945206E-2</v>
      </c>
      <c r="R26" s="584">
        <v>639</v>
      </c>
      <c r="S26" s="585">
        <f t="shared" ca="1" si="0"/>
        <v>213</v>
      </c>
      <c r="T26" s="585" t="e">
        <f t="shared" ca="1" si="4"/>
        <v>#VALUE!</v>
      </c>
      <c r="U26" s="585">
        <f t="shared" ca="1" si="5"/>
        <v>0</v>
      </c>
      <c r="V26" s="585" t="e">
        <f t="shared" ca="1" si="1"/>
        <v>#VALUE!</v>
      </c>
      <c r="W26" s="574" t="e">
        <f t="shared" ca="1" si="2"/>
        <v>#VALUE!</v>
      </c>
      <c r="X26" s="574">
        <f t="shared" ca="1" si="22"/>
        <v>0</v>
      </c>
      <c r="Y26" s="585" t="e">
        <f t="shared" ca="1" si="15"/>
        <v>#VALUE!</v>
      </c>
      <c r="Z26" s="585" t="e">
        <f t="shared" ca="1" si="8"/>
        <v>#VALUE!</v>
      </c>
      <c r="AA26" s="585" t="e">
        <f t="shared" ca="1" si="9"/>
        <v>#VALUE!</v>
      </c>
      <c r="AB26" s="585" t="e">
        <f t="shared" ca="1" si="10"/>
        <v>#VALUE!</v>
      </c>
      <c r="AC26" s="586" t="e">
        <f t="shared" ca="1" si="11"/>
        <v>#VALUE!</v>
      </c>
    </row>
    <row r="27" spans="1:35" ht="13.5" thickBot="1">
      <c r="B27" s="325" t="s">
        <v>566</v>
      </c>
      <c r="C27" s="326" t="s">
        <v>563</v>
      </c>
      <c r="D27" s="326" t="s">
        <v>559</v>
      </c>
      <c r="E27" s="612" t="s">
        <v>560</v>
      </c>
      <c r="F27" s="326" t="s">
        <v>561</v>
      </c>
      <c r="G27" s="326" t="s">
        <v>562</v>
      </c>
      <c r="J27" s="578"/>
      <c r="O27" s="582">
        <f t="shared" si="3"/>
        <v>11</v>
      </c>
      <c r="P27" s="583">
        <f>'Meteorological data'!F27</f>
        <v>5.9179025518713124E-2</v>
      </c>
      <c r="Q27" s="583">
        <f>'Meteorological data'!G27</f>
        <v>7.5342465753424653E-2</v>
      </c>
      <c r="R27" s="584">
        <v>660</v>
      </c>
      <c r="S27" s="585">
        <f t="shared" ca="1" si="0"/>
        <v>220</v>
      </c>
      <c r="T27" s="585" t="e">
        <f t="shared" ca="1" si="4"/>
        <v>#VALUE!</v>
      </c>
      <c r="U27" s="585">
        <f t="shared" ca="1" si="5"/>
        <v>0</v>
      </c>
      <c r="V27" s="585" t="e">
        <f t="shared" ca="1" si="1"/>
        <v>#VALUE!</v>
      </c>
      <c r="W27" s="574" t="e">
        <f t="shared" ca="1" si="2"/>
        <v>#VALUE!</v>
      </c>
      <c r="X27" s="574">
        <f t="shared" ca="1" si="22"/>
        <v>0</v>
      </c>
      <c r="Y27" s="585" t="e">
        <f t="shared" ca="1" si="15"/>
        <v>#VALUE!</v>
      </c>
      <c r="Z27" s="585" t="e">
        <f t="shared" ca="1" si="8"/>
        <v>#VALUE!</v>
      </c>
      <c r="AA27" s="585" t="e">
        <f t="shared" ca="1" si="9"/>
        <v>#VALUE!</v>
      </c>
      <c r="AB27" s="585" t="e">
        <f t="shared" ca="1" si="10"/>
        <v>#VALUE!</v>
      </c>
      <c r="AC27" s="586" t="e">
        <f t="shared" ca="1" si="11"/>
        <v>#VALUE!</v>
      </c>
    </row>
    <row r="28" spans="1:35">
      <c r="A28" s="571" t="s">
        <v>236</v>
      </c>
      <c r="B28" s="613" t="s">
        <v>237</v>
      </c>
      <c r="C28" s="614" t="str">
        <f ca="1">IF(C30="Yes",$E$125,
IF($E$132="Low temperature heat pump",$E$123,
IF($E$107&lt;=45,IF($E$128="Yes",$E$123,IF($E$129="Yes",$E$124,$E$125)),
IF($E$107&lt;=55,IF($E$129="Yes",$E$124,IF($E$128="Yes",$E$123,$E$125)),
$E$125))))</f>
        <v>High</v>
      </c>
      <c r="D28" s="197"/>
      <c r="E28" s="615"/>
      <c r="I28" s="571" t="s">
        <v>1</v>
      </c>
      <c r="J28" s="578"/>
      <c r="O28" s="590">
        <f t="shared" si="3"/>
        <v>12</v>
      </c>
      <c r="P28" s="591">
        <f>'Meteorological data'!F28</f>
        <v>4.3756612807775763E-2</v>
      </c>
      <c r="Q28" s="591">
        <f>'Meteorological data'!G28</f>
        <v>6.9634703196347028E-2</v>
      </c>
      <c r="R28" s="592">
        <v>610</v>
      </c>
      <c r="S28" s="593">
        <f t="shared" ca="1" si="0"/>
        <v>203.33333333333331</v>
      </c>
      <c r="T28" s="593" t="e">
        <f t="shared" ca="1" si="4"/>
        <v>#VALUE!</v>
      </c>
      <c r="U28" s="593">
        <f t="shared" ca="1" si="5"/>
        <v>0</v>
      </c>
      <c r="V28" s="585" t="e">
        <f t="shared" ca="1" si="1"/>
        <v>#VALUE!</v>
      </c>
      <c r="W28" s="594" t="e">
        <f t="shared" ca="1" si="2"/>
        <v>#VALUE!</v>
      </c>
      <c r="X28" s="594">
        <f ca="1">G41</f>
        <v>0</v>
      </c>
      <c r="Y28" s="593" t="e">
        <f t="shared" ca="1" si="15"/>
        <v>#VALUE!</v>
      </c>
      <c r="Z28" s="593" t="e">
        <f t="shared" ca="1" si="8"/>
        <v>#VALUE!</v>
      </c>
      <c r="AA28" s="593" t="e">
        <f t="shared" ca="1" si="9"/>
        <v>#VALUE!</v>
      </c>
      <c r="AB28" s="593" t="e">
        <f t="shared" ca="1" si="10"/>
        <v>#VALUE!</v>
      </c>
      <c r="AC28" s="595" t="e">
        <f t="shared" ca="1" si="11"/>
        <v>#VALUE!</v>
      </c>
    </row>
    <row r="29" spans="1:35">
      <c r="B29" s="616" t="s">
        <v>238</v>
      </c>
      <c r="C29" s="617" t="str">
        <f ca="1">IF(C30="Yes","Error",
IF($E$132="Low temperature heat pump",IF($E$129="Yes",$E$124,"Error"),
IF($E$107&lt;=45,IF(C28=$E$123,IF($E$129="Yes",$E$124,$E$125),IF(C28=$E$124,$E$125,"Error")),
IF($E$107&lt;=55,IF(C28=$E$123,$E$125,IF(C28=$E$124,$E$125,"Error")),
IF($E$130="Yes",$E$126,"Error")))))</f>
        <v>Error</v>
      </c>
      <c r="D29" s="197"/>
      <c r="E29" s="615"/>
      <c r="J29" s="578"/>
      <c r="N29" s="578"/>
      <c r="O29" s="582">
        <f t="shared" si="3"/>
        <v>13</v>
      </c>
      <c r="P29" s="583">
        <f>'Meteorological data'!F29</f>
        <v>3.1311084410810035E-2</v>
      </c>
      <c r="Q29" s="583">
        <f>'Meteorological data'!G29</f>
        <v>6.6438356164383566E-2</v>
      </c>
      <c r="R29" s="584">
        <v>582</v>
      </c>
      <c r="S29" s="585">
        <f t="shared" ca="1" si="0"/>
        <v>194</v>
      </c>
      <c r="T29" s="585" t="e">
        <f t="shared" ca="1" si="4"/>
        <v>#VALUE!</v>
      </c>
      <c r="U29" s="585">
        <f t="shared" ca="1" si="5"/>
        <v>0</v>
      </c>
      <c r="V29" s="585" t="e">
        <f t="shared" ca="1" si="1"/>
        <v>#VALUE!</v>
      </c>
      <c r="W29" s="574" t="e">
        <f t="shared" ca="1" si="2"/>
        <v>#VALUE!</v>
      </c>
      <c r="X29" s="574">
        <f t="shared" ca="1" si="22"/>
        <v>0</v>
      </c>
      <c r="Y29" s="585" t="e">
        <f t="shared" ca="1" si="15"/>
        <v>#VALUE!</v>
      </c>
      <c r="Z29" s="585" t="e">
        <f t="shared" ca="1" si="8"/>
        <v>#VALUE!</v>
      </c>
      <c r="AA29" s="585" t="e">
        <f t="shared" ca="1" si="9"/>
        <v>#VALUE!</v>
      </c>
      <c r="AB29" s="585" t="e">
        <f t="shared" ca="1" si="10"/>
        <v>#VALUE!</v>
      </c>
      <c r="AC29" s="586" t="e">
        <f t="shared" ca="1" si="11"/>
        <v>#VALUE!</v>
      </c>
    </row>
    <row r="30" spans="1:35" ht="13.5" thickBot="1">
      <c r="B30" s="618" t="s">
        <v>239</v>
      </c>
      <c r="C30" s="619" t="str">
        <f ca="1">$E$106</f>
        <v>No</v>
      </c>
      <c r="D30" s="197"/>
      <c r="E30" s="615"/>
      <c r="J30" s="578"/>
      <c r="N30" s="578"/>
      <c r="O30" s="582">
        <f t="shared" si="3"/>
        <v>14</v>
      </c>
      <c r="P30" s="583">
        <f>'Meteorological data'!F30</f>
        <v>1.7251582590606676E-2</v>
      </c>
      <c r="Q30" s="583">
        <f>'Meteorological data'!G30</f>
        <v>5.4908675799086759E-2</v>
      </c>
      <c r="R30" s="584">
        <v>481</v>
      </c>
      <c r="S30" s="585">
        <f t="shared" ca="1" si="0"/>
        <v>160.33333333333331</v>
      </c>
      <c r="T30" s="585" t="e">
        <f t="shared" ca="1" si="4"/>
        <v>#VALUE!</v>
      </c>
      <c r="U30" s="585">
        <f t="shared" ca="1" si="5"/>
        <v>0</v>
      </c>
      <c r="V30" s="585" t="e">
        <f t="shared" ca="1" si="1"/>
        <v>#VALUE!</v>
      </c>
      <c r="W30" s="574" t="e">
        <f t="shared" ca="1" si="2"/>
        <v>#VALUE!</v>
      </c>
      <c r="X30" s="574">
        <f t="shared" ca="1" si="22"/>
        <v>0</v>
      </c>
      <c r="Y30" s="585" t="e">
        <f t="shared" ca="1" si="15"/>
        <v>#VALUE!</v>
      </c>
      <c r="Z30" s="585" t="e">
        <f t="shared" ca="1" si="8"/>
        <v>#VALUE!</v>
      </c>
      <c r="AA30" s="585" t="e">
        <f t="shared" ca="1" si="9"/>
        <v>#VALUE!</v>
      </c>
      <c r="AB30" s="585" t="e">
        <f t="shared" ca="1" si="10"/>
        <v>#VALUE!</v>
      </c>
      <c r="AC30" s="586" t="e">
        <f t="shared" ca="1" si="11"/>
        <v>#VALUE!</v>
      </c>
    </row>
    <row r="31" spans="1:35" ht="14.25">
      <c r="A31" s="572" t="s">
        <v>439</v>
      </c>
      <c r="B31" s="571" t="str">
        <f ca="1">C28</f>
        <v>High</v>
      </c>
      <c r="C31" s="571">
        <f ca="1">IF($C$28=$E$123,C15,IF($C$28=$E$124,C16,C17))</f>
        <v>55</v>
      </c>
      <c r="D31" s="571">
        <f t="shared" ref="D31:G31" ca="1" si="23">IF($C$28=$E$123,D15,IF($C$28=$E$124,D16,D17))</f>
        <v>55</v>
      </c>
      <c r="E31" s="571">
        <f t="shared" ca="1" si="23"/>
        <v>55</v>
      </c>
      <c r="F31" s="571">
        <f t="shared" ca="1" si="23"/>
        <v>55</v>
      </c>
      <c r="G31" s="571">
        <f t="shared" ca="1" si="23"/>
        <v>55</v>
      </c>
      <c r="I31" s="578"/>
      <c r="J31" s="578"/>
      <c r="O31" s="582">
        <f t="shared" si="3"/>
        <v>15</v>
      </c>
      <c r="P31" s="583">
        <f>'Meteorological data'!F31</f>
        <v>9.002385094058785E-3</v>
      </c>
      <c r="Q31" s="583">
        <f>'Meteorological data'!G31</f>
        <v>5.7305936073059359E-2</v>
      </c>
      <c r="R31" s="584">
        <v>502</v>
      </c>
      <c r="S31" s="585">
        <f t="shared" ca="1" si="0"/>
        <v>167.33333333333331</v>
      </c>
      <c r="T31" s="585" t="e">
        <f t="shared" ca="1" si="4"/>
        <v>#VALUE!</v>
      </c>
      <c r="U31" s="585">
        <f t="shared" ca="1" si="5"/>
        <v>0</v>
      </c>
      <c r="V31" s="585" t="e">
        <f t="shared" ca="1" si="1"/>
        <v>#VALUE!</v>
      </c>
      <c r="W31" s="574" t="e">
        <f t="shared" ca="1" si="2"/>
        <v>#VALUE!</v>
      </c>
      <c r="X31" s="574">
        <f ca="1">(($X$28-$X$23)/($O$28-$O$23))*(O31-$O$23)+$X$23</f>
        <v>0</v>
      </c>
      <c r="Y31" s="585" t="e">
        <f t="shared" ca="1" si="15"/>
        <v>#VALUE!</v>
      </c>
      <c r="Z31" s="585" t="e">
        <f t="shared" ca="1" si="8"/>
        <v>#VALUE!</v>
      </c>
      <c r="AA31" s="585" t="e">
        <f t="shared" ca="1" si="9"/>
        <v>#VALUE!</v>
      </c>
      <c r="AB31" s="585" t="e">
        <f t="shared" ca="1" si="10"/>
        <v>#VALUE!</v>
      </c>
      <c r="AC31" s="586" t="e">
        <f t="shared" ca="1" si="11"/>
        <v>#VALUE!</v>
      </c>
    </row>
    <row r="32" spans="1:35" ht="14.25">
      <c r="A32" s="572" t="s">
        <v>440</v>
      </c>
      <c r="B32" s="571" t="str">
        <f ca="1">C29</f>
        <v>Error</v>
      </c>
      <c r="C32" s="571">
        <f ca="1">IF($C$29=$E$126,C18,IF($C$29=$E$125,C17,IF($C$29="Error",0,C16)))</f>
        <v>0</v>
      </c>
      <c r="D32" s="571">
        <f t="shared" ref="D32:G32" ca="1" si="24">IF($C$29=$E$126,D18,IF($C$29=$E$125,D17,IF($C$29="Error",0,D16)))</f>
        <v>0</v>
      </c>
      <c r="E32" s="571">
        <f t="shared" ca="1" si="24"/>
        <v>0</v>
      </c>
      <c r="F32" s="571">
        <f t="shared" ca="1" si="24"/>
        <v>0</v>
      </c>
      <c r="G32" s="571">
        <f t="shared" ca="1" si="24"/>
        <v>0</v>
      </c>
      <c r="J32" s="578"/>
      <c r="O32" s="582">
        <f t="shared" si="3"/>
        <v>16</v>
      </c>
      <c r="Q32" s="583">
        <f>'Meteorological data'!G32</f>
        <v>4.3721461187214615E-2</v>
      </c>
      <c r="R32" s="584">
        <v>383</v>
      </c>
      <c r="S32" s="585">
        <f t="shared" ca="1" si="0"/>
        <v>127.66666666666666</v>
      </c>
      <c r="U32" s="585">
        <f t="shared" ca="1" si="5"/>
        <v>0</v>
      </c>
      <c r="V32" s="585">
        <f t="shared" ca="1" si="1"/>
        <v>0</v>
      </c>
      <c r="W32" s="574" t="s">
        <v>1</v>
      </c>
    </row>
    <row r="33" spans="1:24" ht="13.5" thickBot="1">
      <c r="A33" s="572" t="s">
        <v>240</v>
      </c>
      <c r="B33" s="571" t="str">
        <f ca="1">C28</f>
        <v>High</v>
      </c>
      <c r="C33" s="574">
        <f ca="1">IF($C$28=$E$123,C19,IF($C$28=$E$124,C20,C21))</f>
        <v>0</v>
      </c>
      <c r="D33" s="574">
        <f t="shared" ref="D33:G33" ca="1" si="25">IF($C$28=$E$123,D19,IF($C$28=$E$124,D20,D21))</f>
        <v>0</v>
      </c>
      <c r="E33" s="574">
        <f t="shared" ca="1" si="25"/>
        <v>0</v>
      </c>
      <c r="F33" s="574">
        <f t="shared" ca="1" si="25"/>
        <v>0</v>
      </c>
      <c r="G33" s="574">
        <f t="shared" ca="1" si="25"/>
        <v>0</v>
      </c>
      <c r="J33" s="578"/>
      <c r="O33" s="582">
        <f t="shared" si="3"/>
        <v>17</v>
      </c>
      <c r="Q33" s="583">
        <f>'Meteorological data'!G33</f>
        <v>2.9566210045662102E-2</v>
      </c>
      <c r="R33" s="584">
        <v>259</v>
      </c>
      <c r="S33" s="585">
        <f t="shared" ca="1" si="0"/>
        <v>86.333333333333329</v>
      </c>
      <c r="U33" s="585">
        <f t="shared" ca="1" si="5"/>
        <v>0</v>
      </c>
      <c r="V33" s="585">
        <f t="shared" ca="1" si="1"/>
        <v>0</v>
      </c>
      <c r="W33" s="574" t="s">
        <v>1</v>
      </c>
    </row>
    <row r="34" spans="1:24">
      <c r="A34" s="572" t="s">
        <v>241</v>
      </c>
      <c r="B34" s="571" t="str">
        <f ca="1">C29</f>
        <v>Error</v>
      </c>
      <c r="C34" s="574">
        <f ca="1">IF($C$29=$E$126,C22,IF($C$29=$E$125,C21,IF($C$29="Error",0,C20)))</f>
        <v>0</v>
      </c>
      <c r="D34" s="574">
        <f t="shared" ref="D34:G34" ca="1" si="26">IF($C$29=$E$126,D22,IF($C$29=$E$125,D21,IF($C$29="Error",0,D20)))</f>
        <v>0</v>
      </c>
      <c r="E34" s="574">
        <f t="shared" ca="1" si="26"/>
        <v>0</v>
      </c>
      <c r="F34" s="574">
        <f t="shared" ca="1" si="26"/>
        <v>0</v>
      </c>
      <c r="G34" s="574">
        <f t="shared" ca="1" si="26"/>
        <v>0</v>
      </c>
      <c r="I34" s="620" t="s">
        <v>441</v>
      </c>
      <c r="J34" s="578"/>
      <c r="O34" s="582">
        <f t="shared" si="3"/>
        <v>18</v>
      </c>
      <c r="Q34" s="583">
        <f>'Meteorological data'!G34</f>
        <v>1.9406392694063926E-2</v>
      </c>
      <c r="R34" s="584">
        <v>170</v>
      </c>
      <c r="S34" s="585">
        <f t="shared" ca="1" si="0"/>
        <v>56.666666666666664</v>
      </c>
      <c r="U34" s="585">
        <f t="shared" ca="1" si="5"/>
        <v>0</v>
      </c>
      <c r="V34" s="585">
        <f t="shared" ca="1" si="1"/>
        <v>0</v>
      </c>
      <c r="W34" s="574" t="s">
        <v>1</v>
      </c>
    </row>
    <row r="35" spans="1:24" ht="13.5" thickBot="1">
      <c r="A35" s="572" t="s">
        <v>242</v>
      </c>
      <c r="B35" s="571" t="str">
        <f ca="1">C28</f>
        <v>High</v>
      </c>
      <c r="C35" s="574">
        <f ca="1">IF($C$28=$E$123,C23,IF($C$28=$E$124,C24,C25))</f>
        <v>0</v>
      </c>
      <c r="D35" s="574">
        <f t="shared" ref="D35:G35" ca="1" si="27">IF($C$28=$E$123,D23,IF($C$28=$E$124,D24,D25))</f>
        <v>0</v>
      </c>
      <c r="E35" s="574">
        <f t="shared" ca="1" si="27"/>
        <v>0</v>
      </c>
      <c r="F35" s="574">
        <f t="shared" ca="1" si="27"/>
        <v>0</v>
      </c>
      <c r="G35" s="574">
        <f t="shared" ca="1" si="27"/>
        <v>0</v>
      </c>
      <c r="I35" s="621">
        <f ca="1">IF(E132="Low temperature heat pump",35,55)</f>
        <v>55</v>
      </c>
      <c r="J35" s="578"/>
      <c r="O35" s="582">
        <f t="shared" si="3"/>
        <v>19</v>
      </c>
      <c r="Q35" s="583">
        <f>'Meteorological data'!G35</f>
        <v>1.2785388127853882E-2</v>
      </c>
      <c r="R35" s="584">
        <v>112</v>
      </c>
      <c r="S35" s="585">
        <f t="shared" ca="1" si="0"/>
        <v>37.333333333333329</v>
      </c>
      <c r="U35" s="585">
        <f t="shared" ca="1" si="5"/>
        <v>0</v>
      </c>
      <c r="V35" s="585">
        <f t="shared" ca="1" si="1"/>
        <v>0</v>
      </c>
      <c r="W35" s="574" t="s">
        <v>1</v>
      </c>
    </row>
    <row r="36" spans="1:24">
      <c r="A36" s="572" t="s">
        <v>243</v>
      </c>
      <c r="B36" s="571" t="str">
        <f ca="1">C29</f>
        <v>Error</v>
      </c>
      <c r="C36" s="574">
        <f ca="1">IF($C$29=$E$126,C26,IF($C$29=$E$125,C25,IF($C$29="Error",0,C24)))</f>
        <v>0</v>
      </c>
      <c r="D36" s="574">
        <f t="shared" ref="D36:G36" ca="1" si="28">IF($C$29=$E$126,D26,IF($C$29=$E$125,D25,IF($C$29="Error",0,D24)))</f>
        <v>0</v>
      </c>
      <c r="E36" s="574">
        <f t="shared" ca="1" si="28"/>
        <v>0</v>
      </c>
      <c r="F36" s="574">
        <f t="shared" ca="1" si="28"/>
        <v>0</v>
      </c>
      <c r="G36" s="574">
        <f t="shared" ca="1" si="28"/>
        <v>0</v>
      </c>
      <c r="J36" s="578"/>
      <c r="O36" s="582">
        <f t="shared" si="3"/>
        <v>20</v>
      </c>
      <c r="Q36" s="583">
        <f>'Meteorological data'!G36</f>
        <v>7.6484018264840184E-3</v>
      </c>
      <c r="R36" s="584">
        <v>67</v>
      </c>
      <c r="S36" s="585">
        <f t="shared" ca="1" si="0"/>
        <v>22.333333333333332</v>
      </c>
      <c r="U36" s="585">
        <f t="shared" ca="1" si="5"/>
        <v>0</v>
      </c>
      <c r="V36" s="585">
        <f t="shared" ca="1" si="1"/>
        <v>0</v>
      </c>
      <c r="W36" s="574" t="s">
        <v>1</v>
      </c>
      <c r="X36" s="572" t="s">
        <v>244</v>
      </c>
    </row>
    <row r="37" spans="1:24" ht="42" customHeight="1">
      <c r="A37" s="578" t="s">
        <v>245</v>
      </c>
      <c r="B37" s="580" t="s">
        <v>403</v>
      </c>
      <c r="C37" s="622" t="e">
        <f ca="1">$E$105+(($E$109/2)*(($E$105-C3)/($E$105-$E$104)))+((AVERAGE($I$35,($I$35-$E$109))-$E$105)*(($E$105-C3)/($E$105-$E$104))^(1/$E$108))</f>
        <v>#VALUE!</v>
      </c>
      <c r="D37" s="622" t="e">
        <f ca="1">$E$105+(($E$109/2)*(($E$105-D3)/($E$105-$E$104)))+((AVERAGE($I$35,($I$35-$E$109))-$E$105)*(($E$105-D3)/($E$105-$E$104))^(1/$E$108))</f>
        <v>#VALUE!</v>
      </c>
      <c r="E37" s="622" t="e">
        <f ca="1">$E$105+(($E$109/2)*(($E$105-E3)/($E$105-$E$104)))+((AVERAGE($I$35,($I$35-$E$109))-$E$105)*(($E$105-E3)/($E$105-$E$104))^(1/$E$108))</f>
        <v>#VALUE!</v>
      </c>
      <c r="F37" s="622" t="e">
        <f ca="1">$E$105+(($E$109/2)*(($E$105-F3)/($E$105-$E$104)))+((AVERAGE($I$35,($I$35-$E$109))-$E$105)*(($E$105-F3)/($E$105-$E$104))^(1/$E$108))</f>
        <v>#VALUE!</v>
      </c>
      <c r="G37" s="622" t="e">
        <f ca="1">$E$105+(($E$109/2)*(($E$105-G3)/($E$105-$E$104)))+((AVERAGE($I$35,($I$35-$E$109))-$E$105)*(($E$105-G3)/($E$105-$E$104))^(1/$E$108))</f>
        <v>#VALUE!</v>
      </c>
      <c r="I37" s="577" t="str">
        <f ca="1">I35&amp;"degC basis for Supply Flow Temperature to meet the mandatory test points in Ecodesign, to use for single test point data"</f>
        <v>55degC basis for Supply Flow Temperature to meet the mandatory test points in Ecodesign, to use for single test point data</v>
      </c>
      <c r="J37" s="578"/>
      <c r="O37" s="582">
        <f t="shared" si="3"/>
        <v>21</v>
      </c>
      <c r="Q37" s="583">
        <f>'Meteorological data'!G37</f>
        <v>4.2237442922374432E-3</v>
      </c>
      <c r="R37" s="584">
        <v>37</v>
      </c>
      <c r="S37" s="585">
        <f t="shared" ca="1" si="0"/>
        <v>12.333333333333332</v>
      </c>
      <c r="U37" s="585">
        <f t="shared" ca="1" si="5"/>
        <v>0</v>
      </c>
      <c r="V37" s="585">
        <f t="shared" ca="1" si="1"/>
        <v>0</v>
      </c>
      <c r="W37" s="574" t="s">
        <v>1</v>
      </c>
    </row>
    <row r="38" spans="1:24" ht="38.25">
      <c r="A38" s="571" t="s">
        <v>246</v>
      </c>
      <c r="B38" s="580" t="s">
        <v>404</v>
      </c>
      <c r="C38" s="571">
        <f ca="1">IF(OR($E$98="Air to Water",$E$98="Air to Air"),C3,
IF(LEFT($E$98,7)="Exhaust",$E$105,
IF(OR($E$98="Water to Water",$E$98="Water to Air"),10,
IF($E$98="Direct exchange (DX)",4,
MAX(0,MIN(0.15*C3+1.5,4.5))))))</f>
        <v>0</v>
      </c>
      <c r="D38" s="571">
        <f ca="1">IF(OR($E$98="Air to Water",$E$98="Air to Air"),D3,
IF(LEFT($E$98,7)="Exhaust",$E$105,
IF(OR($E$98="Water to Water",$E$98="Water to Air"),10,
IF($E$98="Direct exchange (DX)",4,
MAX(0,MIN(0.15*D3+1.5,4.5))))))</f>
        <v>-7</v>
      </c>
      <c r="E38" s="571">
        <f ca="1">IF(OR($E$98="Air to Water",$E$98="Air to Air"),E3,
IF(LEFT($E$98,7)="Exhaust",$E$105,
IF(OR($E$98="Water to Water",$E$98="Water to Air"),10,
IF($E$98="Direct exchange (DX)",4,
MAX(0,MIN(0.15*E3+1.5,4.5))))))</f>
        <v>2</v>
      </c>
      <c r="F38" s="571">
        <f ca="1">IF(OR($E$98="Air to Water",$E$98="Air to Air"),F3,
IF(LEFT($E$98,7)="Exhaust",$E$105,
IF(OR($E$98="Water to Water",$E$98="Water to Air"),10,
IF($E$98="Direct exchange (DX)",4,
MAX(0,MIN(0.15*F3+1.5,4.5))))))</f>
        <v>7</v>
      </c>
      <c r="G38" s="571">
        <f ca="1">IF(OR($E$98="Air to Water",$E$98="Air to Air"),G3,
IF(LEFT($E$98,7)="Exhaust",$E$105,
IF(OR($E$98="Water to Water",$E$98="Water to Air"),10,
IF($E$98="Direct exchange (DX)",4,
MAX(0,MIN(0.15*G3+1.5,4.5))))))</f>
        <v>12</v>
      </c>
      <c r="I38" s="572" t="s">
        <v>442</v>
      </c>
      <c r="J38" s="578"/>
      <c r="K38" s="572"/>
      <c r="M38" s="572"/>
      <c r="N38" s="572"/>
      <c r="O38" s="582">
        <f t="shared" si="3"/>
        <v>22</v>
      </c>
      <c r="Q38" s="583">
        <f>'Meteorological data'!G38</f>
        <v>3.0821917808219177E-3</v>
      </c>
      <c r="R38" s="584">
        <v>27</v>
      </c>
      <c r="S38" s="585">
        <f t="shared" ca="1" si="0"/>
        <v>9</v>
      </c>
      <c r="U38" s="585">
        <f t="shared" ca="1" si="5"/>
        <v>0</v>
      </c>
      <c r="V38" s="585">
        <f t="shared" ca="1" si="1"/>
        <v>0</v>
      </c>
      <c r="W38" s="574" t="s">
        <v>1</v>
      </c>
    </row>
    <row r="39" spans="1:24" ht="119.25" customHeight="1">
      <c r="A39" s="571" t="s">
        <v>247</v>
      </c>
      <c r="B39" s="589" t="s">
        <v>405</v>
      </c>
      <c r="C39" s="574" t="e">
        <f ca="1">$E$105+
((($E$107-$E$110)/2)*
(($E$105-C3)/
($E$105-$E$104)))+
((AVERAGE($E$107,$E$110)-$E$105)*
(($E$105-C3)/($E$105-$E$104))^
(1/$E$108))</f>
        <v>#VALUE!</v>
      </c>
      <c r="D39" s="574" t="e">
        <f ca="1">$E$105+
((($E$107-$E$110)/2)*
(($E$105-D3)/
($E$105-$E$104)))+
((AVERAGE($E$107,$E$110)-$E$105)*
(($E$105-D3)/($E$105-$E$104))^
(1/$E$108))</f>
        <v>#VALUE!</v>
      </c>
      <c r="E39" s="574" t="e">
        <f ca="1">$E$105+
((($E$107-$E$110)/2)*
(($E$105-E3)/
($E$105-$E$104)))+
((AVERAGE($E$107,$E$110)-$E$105)*
(($E$105-E3)/($E$105-$E$104))^
(1/$E$108))</f>
        <v>#VALUE!</v>
      </c>
      <c r="F39" s="574" t="e">
        <f ca="1">$E$105+
((($E$107-$E$110)/2)*
(($E$105-F3)/
($E$105-$E$104)))+
((AVERAGE($E$107,$E$110)-$E$105)*
(($E$105-F3)/($E$105-$E$104))^
(1/$E$108))</f>
        <v>#VALUE!</v>
      </c>
      <c r="G39" s="574" t="e">
        <f ca="1">$E$105+
((($E$107-$E$110)/2)*
(($E$105-G3)/
($E$105-$E$104)))+
((AVERAGE($E$107,$E$110)-$E$105)*
(($E$105-G3)/($E$105-$E$104))^
(1/$E$108))</f>
        <v>#VALUE!</v>
      </c>
      <c r="H39" s="571" t="s">
        <v>1</v>
      </c>
      <c r="M39" s="572"/>
      <c r="O39" s="582">
        <f t="shared" si="3"/>
        <v>23</v>
      </c>
      <c r="Q39" s="583">
        <f>'Meteorological data'!G39</f>
        <v>2.2831050228310501E-3</v>
      </c>
      <c r="R39" s="584">
        <v>20</v>
      </c>
      <c r="S39" s="585">
        <f t="shared" ca="1" si="0"/>
        <v>6.6666666666666661</v>
      </c>
      <c r="U39" s="585">
        <f t="shared" ca="1" si="5"/>
        <v>0</v>
      </c>
      <c r="V39" s="585">
        <f t="shared" ca="1" si="1"/>
        <v>0</v>
      </c>
      <c r="W39" s="574" t="s">
        <v>1</v>
      </c>
    </row>
    <row r="40" spans="1:24" ht="43.15" customHeight="1">
      <c r="A40" s="571" t="s">
        <v>248</v>
      </c>
      <c r="B40" s="589" t="s">
        <v>406</v>
      </c>
      <c r="C40" s="775" t="s">
        <v>443</v>
      </c>
      <c r="D40" s="776"/>
      <c r="E40" s="776"/>
      <c r="F40" s="776"/>
      <c r="G40" s="776"/>
      <c r="H40" s="776"/>
      <c r="J40" s="578"/>
      <c r="K40" s="578"/>
      <c r="M40" s="578"/>
      <c r="N40" s="572"/>
      <c r="O40" s="582">
        <f t="shared" si="3"/>
        <v>24</v>
      </c>
      <c r="Q40" s="583">
        <f>'Meteorological data'!G40</f>
        <v>1.4840182648401827E-3</v>
      </c>
      <c r="R40" s="584">
        <v>13</v>
      </c>
      <c r="S40" s="585">
        <f t="shared" ca="1" si="0"/>
        <v>4.333333333333333</v>
      </c>
      <c r="U40" s="585">
        <f t="shared" ca="1" si="5"/>
        <v>0</v>
      </c>
      <c r="V40" s="585">
        <f t="shared" ca="1" si="1"/>
        <v>0</v>
      </c>
      <c r="W40" s="574" t="s">
        <v>1</v>
      </c>
    </row>
    <row r="41" spans="1:24" ht="25.5">
      <c r="A41" s="571" t="s">
        <v>249</v>
      </c>
      <c r="B41" s="589" t="s">
        <v>407</v>
      </c>
      <c r="C41" s="574">
        <f ca="1">IF($C$29="Error",C35,((C36-C35)/(C32-C31))*(C39-C31)+C35)</f>
        <v>0</v>
      </c>
      <c r="D41" s="574">
        <f ca="1">IF($C$29="Error",D35,((D36-D35)/(D32-D31))*(D39-D31)+D35)</f>
        <v>0</v>
      </c>
      <c r="E41" s="574">
        <f ca="1">IF($C$29="Error",E35,((E36-E35)/(E32-E31))*(E39-E31)+E35)</f>
        <v>0</v>
      </c>
      <c r="F41" s="574">
        <f ca="1">IF($C$29="Error",F35,((F36-F35)/(F32-F31))*(F39-F31)+F35)</f>
        <v>0</v>
      </c>
      <c r="G41" s="574">
        <f ca="1">IF($C$29="Error",G35,((G36-G35)/(G32-G31))*(G39-G31)+G35)</f>
        <v>0</v>
      </c>
      <c r="I41" s="577" t="s">
        <v>250</v>
      </c>
      <c r="J41" s="578"/>
      <c r="N41" s="623"/>
      <c r="O41" s="582">
        <f t="shared" si="3"/>
        <v>25</v>
      </c>
      <c r="Q41" s="583">
        <f>'Meteorological data'!G41</f>
        <v>0</v>
      </c>
      <c r="R41" s="584">
        <v>0</v>
      </c>
      <c r="S41" s="585">
        <f t="shared" ca="1" si="0"/>
        <v>0</v>
      </c>
      <c r="U41" s="585">
        <f t="shared" ca="1" si="5"/>
        <v>0</v>
      </c>
      <c r="V41" s="585">
        <f t="shared" ca="1" si="1"/>
        <v>0</v>
      </c>
      <c r="W41" s="574" t="s">
        <v>1</v>
      </c>
    </row>
    <row r="42" spans="1:24" ht="13.5" thickBot="1">
      <c r="C42" s="585"/>
      <c r="D42" s="585"/>
      <c r="E42" s="585"/>
      <c r="F42" s="585"/>
      <c r="G42" s="585"/>
      <c r="J42" s="578"/>
      <c r="O42" s="582">
        <f t="shared" si="3"/>
        <v>26</v>
      </c>
      <c r="Q42" s="583">
        <f>'Meteorological data'!G42</f>
        <v>0</v>
      </c>
      <c r="R42" s="584">
        <v>0</v>
      </c>
      <c r="S42" s="585">
        <f t="shared" ca="1" si="0"/>
        <v>0</v>
      </c>
      <c r="U42" s="585">
        <f t="shared" ca="1" si="5"/>
        <v>0</v>
      </c>
      <c r="V42" s="585">
        <f t="shared" ca="1" si="1"/>
        <v>0</v>
      </c>
      <c r="W42" s="574" t="s">
        <v>1</v>
      </c>
    </row>
    <row r="43" spans="1:24" ht="38.25">
      <c r="A43" s="571" t="s">
        <v>251</v>
      </c>
      <c r="B43" s="571" t="s">
        <v>252</v>
      </c>
      <c r="C43" s="571">
        <f ca="1">IF(C28="Low",F35,F35)</f>
        <v>0</v>
      </c>
      <c r="D43" s="571" t="s">
        <v>174</v>
      </c>
      <c r="I43" s="624" t="s">
        <v>446</v>
      </c>
      <c r="J43" s="625" t="s">
        <v>444</v>
      </c>
      <c r="K43" s="620" t="s">
        <v>445</v>
      </c>
      <c r="N43" s="623"/>
      <c r="O43" s="582">
        <f t="shared" si="3"/>
        <v>27</v>
      </c>
      <c r="Q43" s="583">
        <f>'Meteorological data'!G43</f>
        <v>0</v>
      </c>
      <c r="R43" s="584">
        <v>0</v>
      </c>
      <c r="S43" s="585">
        <f t="shared" ca="1" si="0"/>
        <v>0</v>
      </c>
      <c r="U43" s="585">
        <f t="shared" ca="1" si="5"/>
        <v>0</v>
      </c>
      <c r="V43" s="585">
        <f t="shared" ca="1" si="1"/>
        <v>0</v>
      </c>
      <c r="W43" s="574" t="s">
        <v>1</v>
      </c>
    </row>
    <row r="44" spans="1:24" ht="39" thickBot="1">
      <c r="A44" s="571" t="s">
        <v>253</v>
      </c>
      <c r="B44" s="626" t="s">
        <v>408</v>
      </c>
      <c r="C44" s="574">
        <f ca="1">C43/(4.182*J44)</f>
        <v>0</v>
      </c>
      <c r="D44" s="574" t="s">
        <v>1</v>
      </c>
      <c r="F44" s="574" t="s">
        <v>1</v>
      </c>
      <c r="G44" s="574" t="s">
        <v>1</v>
      </c>
      <c r="I44" s="577" t="s">
        <v>488</v>
      </c>
      <c r="J44" s="627">
        <f ca="1">IF(E133="Electricity",5,7+10*(K44-35)/30)</f>
        <v>5</v>
      </c>
      <c r="K44" s="621">
        <f ca="1">E131</f>
        <v>55</v>
      </c>
      <c r="O44" s="582">
        <f t="shared" si="3"/>
        <v>28</v>
      </c>
      <c r="Q44" s="583">
        <f>'Meteorological data'!G44</f>
        <v>0</v>
      </c>
      <c r="R44" s="584">
        <v>0</v>
      </c>
      <c r="S44" s="585">
        <f t="shared" ca="1" si="0"/>
        <v>0</v>
      </c>
      <c r="U44" s="585">
        <f t="shared" ca="1" si="5"/>
        <v>0</v>
      </c>
      <c r="V44" s="585">
        <f t="shared" ca="1" si="1"/>
        <v>0</v>
      </c>
      <c r="W44" s="574" t="s">
        <v>1</v>
      </c>
    </row>
    <row r="45" spans="1:24" ht="14.25">
      <c r="A45" s="571" t="s">
        <v>254</v>
      </c>
      <c r="B45" s="589" t="s">
        <v>409</v>
      </c>
      <c r="C45" s="574" t="e">
        <f ca="1">C35/($C$44*4.182)</f>
        <v>#DIV/0!</v>
      </c>
      <c r="D45" s="574" t="e">
        <f t="shared" ref="C45:G46" ca="1" si="29">D35/($C$44*4.182)</f>
        <v>#DIV/0!</v>
      </c>
      <c r="E45" s="574" t="e">
        <f t="shared" ca="1" si="29"/>
        <v>#DIV/0!</v>
      </c>
      <c r="F45" s="574" t="e">
        <f t="shared" ca="1" si="29"/>
        <v>#DIV/0!</v>
      </c>
      <c r="G45" s="574" t="e">
        <f t="shared" ca="1" si="29"/>
        <v>#DIV/0!</v>
      </c>
      <c r="J45" s="578"/>
      <c r="O45" s="582">
        <f t="shared" si="3"/>
        <v>29</v>
      </c>
      <c r="Q45" s="583">
        <f>'Meteorological data'!G45</f>
        <v>0</v>
      </c>
      <c r="R45" s="584">
        <v>0</v>
      </c>
      <c r="S45" s="585">
        <f t="shared" ca="1" si="0"/>
        <v>0</v>
      </c>
      <c r="U45" s="585">
        <f t="shared" ca="1" si="5"/>
        <v>0</v>
      </c>
      <c r="V45" s="585">
        <f t="shared" ca="1" si="1"/>
        <v>0</v>
      </c>
      <c r="W45" s="574" t="s">
        <v>1</v>
      </c>
    </row>
    <row r="46" spans="1:24" ht="14.25">
      <c r="A46" s="571" t="s">
        <v>255</v>
      </c>
      <c r="B46" s="589" t="s">
        <v>409</v>
      </c>
      <c r="C46" s="574" t="e">
        <f t="shared" ca="1" si="29"/>
        <v>#DIV/0!</v>
      </c>
      <c r="D46" s="574" t="e">
        <f t="shared" ca="1" si="29"/>
        <v>#DIV/0!</v>
      </c>
      <c r="E46" s="574" t="e">
        <f t="shared" ca="1" si="29"/>
        <v>#DIV/0!</v>
      </c>
      <c r="F46" s="574" t="e">
        <f t="shared" ca="1" si="29"/>
        <v>#DIV/0!</v>
      </c>
      <c r="G46" s="574" t="e">
        <f t="shared" ca="1" si="29"/>
        <v>#DIV/0!</v>
      </c>
      <c r="J46" s="578"/>
      <c r="O46" s="582">
        <f t="shared" si="3"/>
        <v>30</v>
      </c>
      <c r="Q46" s="583">
        <f>'Meteorological data'!G46</f>
        <v>0</v>
      </c>
      <c r="R46" s="584">
        <v>0</v>
      </c>
      <c r="S46" s="585">
        <f t="shared" ca="1" si="0"/>
        <v>0</v>
      </c>
      <c r="U46" s="585">
        <f t="shared" ca="1" si="5"/>
        <v>0</v>
      </c>
      <c r="V46" s="585">
        <f t="shared" ca="1" si="1"/>
        <v>0</v>
      </c>
      <c r="W46" s="574" t="s">
        <v>1</v>
      </c>
    </row>
    <row r="47" spans="1:24">
      <c r="A47" s="571" t="s">
        <v>256</v>
      </c>
      <c r="B47" s="571" t="s">
        <v>257</v>
      </c>
      <c r="C47" s="574" t="e">
        <f ca="1">E93/1000</f>
        <v>#VALUE!</v>
      </c>
      <c r="D47" s="574" t="s">
        <v>174</v>
      </c>
      <c r="E47" s="574"/>
      <c r="F47" s="574"/>
      <c r="G47" s="574"/>
      <c r="I47" s="572" t="s">
        <v>258</v>
      </c>
      <c r="J47" s="98" t="e">
        <f ca="1">C43/C47</f>
        <v>#VALUE!</v>
      </c>
      <c r="K47" s="578"/>
      <c r="M47" s="578"/>
      <c r="N47" s="572"/>
      <c r="O47" s="582">
        <f t="shared" si="3"/>
        <v>31</v>
      </c>
      <c r="Q47" s="583">
        <f>'Meteorological data'!G47</f>
        <v>0</v>
      </c>
      <c r="R47" s="584">
        <v>0</v>
      </c>
      <c r="S47" s="585">
        <f t="shared" ca="1" si="0"/>
        <v>0</v>
      </c>
      <c r="U47" s="585">
        <f t="shared" ca="1" si="5"/>
        <v>0</v>
      </c>
      <c r="V47" s="585">
        <f t="shared" ca="1" si="1"/>
        <v>0</v>
      </c>
      <c r="W47" s="574" t="s">
        <v>1</v>
      </c>
    </row>
    <row r="48" spans="1:24">
      <c r="A48" s="571" t="s">
        <v>259</v>
      </c>
      <c r="B48" s="571" t="s">
        <v>260</v>
      </c>
      <c r="C48" s="574">
        <f ca="1">$E$107-$E$110</f>
        <v>10</v>
      </c>
      <c r="D48" s="574"/>
      <c r="E48" s="574"/>
      <c r="F48" s="574"/>
      <c r="G48" s="574"/>
      <c r="J48" s="578"/>
      <c r="O48" s="582">
        <f t="shared" si="3"/>
        <v>32</v>
      </c>
      <c r="Q48" s="583">
        <f>'Meteorological data'!G48</f>
        <v>0</v>
      </c>
      <c r="R48" s="584">
        <v>0</v>
      </c>
      <c r="S48" s="585">
        <f t="shared" ca="1" si="0"/>
        <v>0</v>
      </c>
      <c r="U48" s="585">
        <f t="shared" ca="1" si="5"/>
        <v>0</v>
      </c>
      <c r="V48" s="585">
        <f t="shared" ca="1" si="1"/>
        <v>0</v>
      </c>
      <c r="W48" s="574" t="s">
        <v>1</v>
      </c>
    </row>
    <row r="49" spans="1:23">
      <c r="A49" s="571" t="s">
        <v>261</v>
      </c>
      <c r="B49" s="626" t="s">
        <v>408</v>
      </c>
      <c r="C49" s="574" t="e">
        <f ca="1">C47/(C48*4.182)</f>
        <v>#VALUE!</v>
      </c>
      <c r="J49" s="578"/>
      <c r="K49" s="572"/>
      <c r="M49" s="572"/>
      <c r="O49" s="582">
        <f t="shared" si="3"/>
        <v>33</v>
      </c>
      <c r="Q49" s="583">
        <f>'Meteorological data'!G49</f>
        <v>0</v>
      </c>
      <c r="R49" s="584">
        <v>0</v>
      </c>
      <c r="S49" s="585">
        <f t="shared" ca="1" si="0"/>
        <v>0</v>
      </c>
      <c r="U49" s="585">
        <f t="shared" ca="1" si="5"/>
        <v>0</v>
      </c>
      <c r="V49" s="585">
        <f t="shared" ca="1" si="1"/>
        <v>0</v>
      </c>
      <c r="W49" s="574" t="s">
        <v>1</v>
      </c>
    </row>
    <row r="50" spans="1:23" ht="25.5">
      <c r="A50" s="578" t="s">
        <v>262</v>
      </c>
      <c r="B50" s="589" t="s">
        <v>409</v>
      </c>
      <c r="C50" s="574" t="e">
        <f ca="1">C35/($C$49*4.182)</f>
        <v>#VALUE!</v>
      </c>
      <c r="D50" s="574" t="e">
        <f t="shared" ref="D50:G51" ca="1" si="30">D35/($C$49*4.182)</f>
        <v>#VALUE!</v>
      </c>
      <c r="E50" s="574" t="e">
        <f t="shared" ca="1" si="30"/>
        <v>#VALUE!</v>
      </c>
      <c r="F50" s="574" t="e">
        <f t="shared" ca="1" si="30"/>
        <v>#VALUE!</v>
      </c>
      <c r="G50" s="574" t="e">
        <f t="shared" ca="1" si="30"/>
        <v>#VALUE!</v>
      </c>
      <c r="J50" s="578"/>
      <c r="O50" s="582">
        <f t="shared" si="3"/>
        <v>34</v>
      </c>
      <c r="Q50" s="583">
        <f>'Meteorological data'!G50</f>
        <v>0</v>
      </c>
      <c r="R50" s="584">
        <v>0</v>
      </c>
      <c r="S50" s="585">
        <f t="shared" ca="1" si="0"/>
        <v>0</v>
      </c>
      <c r="U50" s="585">
        <f t="shared" ca="1" si="5"/>
        <v>0</v>
      </c>
      <c r="V50" s="585">
        <f t="shared" ca="1" si="1"/>
        <v>0</v>
      </c>
      <c r="W50" s="574" t="s">
        <v>1</v>
      </c>
    </row>
    <row r="51" spans="1:23" ht="25.5">
      <c r="A51" s="578" t="s">
        <v>263</v>
      </c>
      <c r="B51" s="589" t="s">
        <v>409</v>
      </c>
      <c r="C51" s="574" t="e">
        <f ca="1">C36/($C$49*4.182)</f>
        <v>#VALUE!</v>
      </c>
      <c r="D51" s="574" t="e">
        <f t="shared" ca="1" si="30"/>
        <v>#VALUE!</v>
      </c>
      <c r="E51" s="574" t="e">
        <f t="shared" ca="1" si="30"/>
        <v>#VALUE!</v>
      </c>
      <c r="F51" s="574" t="e">
        <f t="shared" ca="1" si="30"/>
        <v>#VALUE!</v>
      </c>
      <c r="G51" s="574" t="e">
        <f t="shared" ca="1" si="30"/>
        <v>#VALUE!</v>
      </c>
      <c r="J51" s="578"/>
      <c r="O51" s="582">
        <f t="shared" si="3"/>
        <v>35</v>
      </c>
      <c r="Q51" s="583">
        <f>'Meteorological data'!G51</f>
        <v>0</v>
      </c>
      <c r="R51" s="584">
        <v>0</v>
      </c>
      <c r="S51" s="585">
        <f t="shared" ca="1" si="0"/>
        <v>0</v>
      </c>
      <c r="U51" s="585">
        <f t="shared" ca="1" si="5"/>
        <v>0</v>
      </c>
      <c r="V51" s="585">
        <f t="shared" ca="1" si="1"/>
        <v>0</v>
      </c>
      <c r="W51" s="574" t="s">
        <v>1</v>
      </c>
    </row>
    <row r="52" spans="1:23" ht="38.25">
      <c r="A52" s="571" t="s">
        <v>264</v>
      </c>
      <c r="B52" s="626" t="s">
        <v>410</v>
      </c>
      <c r="C52" s="574" t="e">
        <f ca="1">1-((C45-C50)/2)/((273.15+C31)-C45/2+5-(273.15+C38-5))</f>
        <v>#DIV/0!</v>
      </c>
      <c r="D52" s="574" t="e">
        <f ca="1">1-((D45-D50)/2)/((273.15+D31)-D45/2+5-(273.15+D38-5))</f>
        <v>#DIV/0!</v>
      </c>
      <c r="E52" s="574" t="e">
        <f ca="1">1-((E45-E50)/2)/((273.15+E31)-E45/2+5-(273.15+E38-5))</f>
        <v>#DIV/0!</v>
      </c>
      <c r="F52" s="574" t="e">
        <f ca="1">1-((F45-F50)/2)/((273.15+F31)-F45/2+5-(273.15+F38-5))</f>
        <v>#DIV/0!</v>
      </c>
      <c r="G52" s="574" t="e">
        <f ca="1">1-((G45-G50)/2)/((273.15+G31)-G45/2+5-(273.15+G38-5))</f>
        <v>#DIV/0!</v>
      </c>
      <c r="I52" s="580" t="s">
        <v>447</v>
      </c>
      <c r="J52" s="578"/>
      <c r="Q52" s="583"/>
      <c r="R52" s="583"/>
      <c r="S52" s="583"/>
      <c r="U52" s="585"/>
      <c r="V52" s="585"/>
      <c r="W52" s="574"/>
    </row>
    <row r="53" spans="1:23" ht="38.25">
      <c r="A53" s="571" t="s">
        <v>265</v>
      </c>
      <c r="B53" s="626" t="s">
        <v>410</v>
      </c>
      <c r="C53" s="574" t="e">
        <f ca="1">1-((C46-C51)/2)/((273.15+C32)-C46/2+5-(273.15+C38-5))</f>
        <v>#DIV/0!</v>
      </c>
      <c r="D53" s="574" t="e">
        <f ca="1">1-((D46-D51)/2)/((273.15+D32)-D46/2+5-(273.15+D38-5))</f>
        <v>#DIV/0!</v>
      </c>
      <c r="E53" s="574" t="e">
        <f ca="1">1-((E46-E51)/2)/((273.15+E32)-E46/2+5-(273.15+E38-5))</f>
        <v>#DIV/0!</v>
      </c>
      <c r="F53" s="574" t="e">
        <f ca="1">1-((F46-F51)/2)/((273.15+F32)-F46/2+5-(273.15+F38-5))</f>
        <v>#DIV/0!</v>
      </c>
      <c r="G53" s="574" t="e">
        <f ca="1">1-((G46-G51)/2)/((273.15+G32)-G46/2+5-(273.15+G38-5))</f>
        <v>#DIV/0!</v>
      </c>
      <c r="I53" s="580" t="s">
        <v>448</v>
      </c>
      <c r="J53" s="578"/>
    </row>
    <row r="54" spans="1:23">
      <c r="A54" s="571" t="s">
        <v>266</v>
      </c>
      <c r="B54" s="626" t="s">
        <v>410</v>
      </c>
      <c r="C54" s="585" t="e">
        <f ca="1">C33*C52</f>
        <v>#DIV/0!</v>
      </c>
      <c r="D54" s="585" t="e">
        <f ca="1">D33*D52</f>
        <v>#DIV/0!</v>
      </c>
      <c r="E54" s="585" t="e">
        <f t="shared" ref="D54:G55" ca="1" si="31">E33*E52</f>
        <v>#DIV/0!</v>
      </c>
      <c r="F54" s="585" t="e">
        <f t="shared" ca="1" si="31"/>
        <v>#DIV/0!</v>
      </c>
      <c r="G54" s="585" t="e">
        <f t="shared" ca="1" si="31"/>
        <v>#DIV/0!</v>
      </c>
      <c r="J54" s="578"/>
    </row>
    <row r="55" spans="1:23">
      <c r="A55" s="571" t="s">
        <v>267</v>
      </c>
      <c r="B55" s="626" t="s">
        <v>410</v>
      </c>
      <c r="C55" s="574" t="e">
        <f ca="1">C34*C53</f>
        <v>#DIV/0!</v>
      </c>
      <c r="D55" s="574" t="e">
        <f t="shared" ca="1" si="31"/>
        <v>#DIV/0!</v>
      </c>
      <c r="E55" s="574" t="e">
        <f t="shared" ca="1" si="31"/>
        <v>#DIV/0!</v>
      </c>
      <c r="F55" s="574" t="e">
        <f t="shared" ca="1" si="31"/>
        <v>#DIV/0!</v>
      </c>
      <c r="G55" s="574" t="e">
        <f ca="1">G34*G53</f>
        <v>#DIV/0!</v>
      </c>
      <c r="J55" s="578"/>
    </row>
    <row r="56" spans="1:23" ht="78">
      <c r="A56" s="571" t="s">
        <v>268</v>
      </c>
      <c r="B56" s="580" t="s">
        <v>411</v>
      </c>
      <c r="C56" s="574" t="e">
        <f ca="1">MAX(0.5,IF($C$29="Error",IF($E$99="Fixed Outlet",C54,C54*(((273.15+C37)*(C31-C6))/((273.15+C31)*(C37-C38)))),((C55-C54)/(C32-C31))*(C39-C31)+C54))</f>
        <v>#DIV/0!</v>
      </c>
      <c r="D56" s="574" t="e">
        <f t="shared" ref="D56:G56" ca="1" si="32">MAX(0.5,IF($C$29="Error",IF($E$99="Fixed Outlet",D54,D54*(((273.15+D37)*(D31-D6))/((273.15+D31)*(D37-D38)))),((D55-D54)/(D32-D31))*(D39-D31)+D54))</f>
        <v>#DIV/0!</v>
      </c>
      <c r="E56" s="574" t="e">
        <f t="shared" ca="1" si="32"/>
        <v>#DIV/0!</v>
      </c>
      <c r="F56" s="574" t="e">
        <f t="shared" ca="1" si="32"/>
        <v>#DIV/0!</v>
      </c>
      <c r="G56" s="574" t="e">
        <f t="shared" ca="1" si="32"/>
        <v>#DIV/0!</v>
      </c>
      <c r="H56" s="574" t="s">
        <v>1</v>
      </c>
      <c r="I56" s="580" t="s">
        <v>421</v>
      </c>
      <c r="J56" s="578" t="s">
        <v>1</v>
      </c>
    </row>
    <row r="57" spans="1:23" ht="36" customHeight="1">
      <c r="A57" s="572" t="s">
        <v>1</v>
      </c>
      <c r="B57" s="572" t="s">
        <v>1</v>
      </c>
      <c r="C57" s="572" t="s">
        <v>1</v>
      </c>
      <c r="D57" s="572" t="s">
        <v>1</v>
      </c>
      <c r="E57" s="572" t="s">
        <v>1</v>
      </c>
      <c r="F57" s="572" t="s">
        <v>1</v>
      </c>
      <c r="G57" s="572" t="s">
        <v>1</v>
      </c>
      <c r="H57" s="572" t="s">
        <v>1</v>
      </c>
      <c r="J57" s="578"/>
    </row>
    <row r="58" spans="1:23">
      <c r="A58" s="571" t="s">
        <v>269</v>
      </c>
      <c r="C58" s="571" t="s">
        <v>270</v>
      </c>
      <c r="J58" s="578"/>
    </row>
    <row r="59" spans="1:23">
      <c r="J59" s="578"/>
    </row>
    <row r="60" spans="1:23">
      <c r="A60" s="571" t="s">
        <v>271</v>
      </c>
      <c r="B60" s="571" t="s">
        <v>43</v>
      </c>
      <c r="C60" s="574">
        <f ca="1">C8</f>
        <v>0</v>
      </c>
      <c r="D60" s="574">
        <f ca="1">D8</f>
        <v>0</v>
      </c>
      <c r="E60" s="574">
        <f ca="1">E8</f>
        <v>0</v>
      </c>
      <c r="F60" s="574">
        <f ca="1">F8</f>
        <v>0</v>
      </c>
      <c r="G60" s="574">
        <f ca="1">G8</f>
        <v>0</v>
      </c>
      <c r="H60" s="574">
        <f ca="1">SUM(C60:G60)</f>
        <v>0</v>
      </c>
      <c r="J60" s="578"/>
    </row>
    <row r="61" spans="1:23" ht="25.5">
      <c r="A61" s="578" t="s">
        <v>272</v>
      </c>
      <c r="B61" s="571" t="s">
        <v>43</v>
      </c>
      <c r="C61" s="585" t="e">
        <f ca="1">SUM(AC4:AC7)</f>
        <v>#VALUE!</v>
      </c>
      <c r="D61" s="585" t="e">
        <f ca="1">SUM(AC8:AC13)</f>
        <v>#VALUE!</v>
      </c>
      <c r="E61" s="585" t="e">
        <f ca="1">SUM(AC14:AC20)</f>
        <v>#VALUE!</v>
      </c>
      <c r="F61" s="585" t="e">
        <f ca="1">SUM(AC21:AC25)</f>
        <v>#VALUE!</v>
      </c>
      <c r="G61" s="585" t="e">
        <f ca="1">SUM(AC26:AC31)</f>
        <v>#VALUE!</v>
      </c>
      <c r="H61" s="585" t="e">
        <f ca="1">SUM(C61:G61)</f>
        <v>#VALUE!</v>
      </c>
      <c r="I61" s="588"/>
      <c r="J61" s="578"/>
      <c r="N61" s="572"/>
    </row>
    <row r="62" spans="1:23" ht="36.6" customHeight="1">
      <c r="A62" s="578" t="s">
        <v>273</v>
      </c>
      <c r="B62" s="571" t="s">
        <v>43</v>
      </c>
      <c r="C62" s="571" t="e">
        <f t="shared" ref="C62:H62" ca="1" si="33">C61/$E$118</f>
        <v>#VALUE!</v>
      </c>
      <c r="D62" s="571" t="e">
        <f t="shared" ca="1" si="33"/>
        <v>#VALUE!</v>
      </c>
      <c r="E62" s="571" t="e">
        <f t="shared" ca="1" si="33"/>
        <v>#VALUE!</v>
      </c>
      <c r="F62" s="571" t="e">
        <f t="shared" ca="1" si="33"/>
        <v>#VALUE!</v>
      </c>
      <c r="G62" s="571" t="e">
        <f t="shared" ca="1" si="33"/>
        <v>#VALUE!</v>
      </c>
      <c r="H62" s="571" t="e">
        <f t="shared" ca="1" si="33"/>
        <v>#VALUE!</v>
      </c>
      <c r="I62" s="577" t="s">
        <v>449</v>
      </c>
      <c r="J62" s="578"/>
    </row>
    <row r="63" spans="1:23">
      <c r="A63" s="571" t="s">
        <v>274</v>
      </c>
      <c r="J63" s="578"/>
    </row>
    <row r="64" spans="1:23">
      <c r="A64" s="571" t="s">
        <v>275</v>
      </c>
      <c r="J64" s="578"/>
    </row>
    <row r="65" spans="1:29">
      <c r="A65" s="571" t="s">
        <v>276</v>
      </c>
      <c r="J65" s="578"/>
    </row>
    <row r="66" spans="1:29">
      <c r="J66" s="578"/>
    </row>
    <row r="67" spans="1:29" ht="25.5">
      <c r="A67" s="577" t="s">
        <v>451</v>
      </c>
      <c r="B67" s="571" t="s">
        <v>43</v>
      </c>
      <c r="C67" s="585" t="e">
        <f ca="1">(C60-C61)/C56</f>
        <v>#VALUE!</v>
      </c>
      <c r="D67" s="585" t="e">
        <f ca="1">(D60-D61)/D56</f>
        <v>#VALUE!</v>
      </c>
      <c r="E67" s="585" t="e">
        <f ca="1">(E60-E61)/E56</f>
        <v>#VALUE!</v>
      </c>
      <c r="F67" s="585" t="e">
        <f ca="1">(F60-F61)/F56</f>
        <v>#VALUE!</v>
      </c>
      <c r="G67" s="585" t="e">
        <f ca="1">(G60-G61)/G56</f>
        <v>#VALUE!</v>
      </c>
      <c r="H67" s="585" t="e">
        <f ca="1">SUM(C67:G67)</f>
        <v>#VALUE!</v>
      </c>
      <c r="J67" s="578"/>
    </row>
    <row r="68" spans="1:29">
      <c r="A68" s="578"/>
      <c r="J68" s="578"/>
    </row>
    <row r="69" spans="1:29" ht="25.5">
      <c r="A69" s="577" t="s">
        <v>450</v>
      </c>
      <c r="B69" s="571" t="s">
        <v>43</v>
      </c>
      <c r="C69" s="585" t="e">
        <f ca="1">C62+C67</f>
        <v>#VALUE!</v>
      </c>
      <c r="D69" s="585" t="e">
        <f ca="1">D62+D67</f>
        <v>#VALUE!</v>
      </c>
      <c r="E69" s="585" t="e">
        <f ca="1">E62+E67</f>
        <v>#VALUE!</v>
      </c>
      <c r="F69" s="585" t="e">
        <f ca="1">F62+F67</f>
        <v>#VALUE!</v>
      </c>
      <c r="G69" s="585" t="e">
        <f ca="1">G62+G67</f>
        <v>#VALUE!</v>
      </c>
      <c r="H69" s="585" t="e">
        <f ca="1">SUM(C69:G69)</f>
        <v>#VALUE!</v>
      </c>
      <c r="J69" s="578"/>
    </row>
    <row r="70" spans="1:29">
      <c r="J70" s="578"/>
    </row>
    <row r="71" spans="1:29">
      <c r="A71" s="571" t="s">
        <v>277</v>
      </c>
      <c r="H71" s="628" t="e">
        <f ca="1">H60/H69</f>
        <v>#VALUE!</v>
      </c>
      <c r="J71" s="578"/>
    </row>
    <row r="72" spans="1:29">
      <c r="J72" s="578"/>
    </row>
    <row r="73" spans="1:29" s="629" customFormat="1">
      <c r="A73" s="629" t="s">
        <v>278</v>
      </c>
      <c r="H73" s="629" t="e">
        <f ca="1">IF(H71&gt;2.5,(H71-2.5)*H69,0)</f>
        <v>#VALUE!</v>
      </c>
      <c r="I73" s="629" t="s">
        <v>43</v>
      </c>
      <c r="J73" s="630"/>
      <c r="L73" s="630"/>
      <c r="AC73" s="630"/>
    </row>
    <row r="74" spans="1:29">
      <c r="J74" s="578"/>
    </row>
    <row r="75" spans="1:29">
      <c r="A75" s="571" t="s">
        <v>279</v>
      </c>
      <c r="B75" s="571" t="s">
        <v>43</v>
      </c>
      <c r="C75" s="574" t="e">
        <f ca="1">C60-C61</f>
        <v>#VALUE!</v>
      </c>
      <c r="D75" s="574" t="e">
        <f ca="1">D60-D61</f>
        <v>#VALUE!</v>
      </c>
      <c r="E75" s="574" t="e">
        <f ca="1">E60-E61</f>
        <v>#VALUE!</v>
      </c>
      <c r="F75" s="574" t="e">
        <f ca="1">F60-F61</f>
        <v>#VALUE!</v>
      </c>
      <c r="G75" s="574" t="e">
        <f ca="1">G60-G61</f>
        <v>#VALUE!</v>
      </c>
      <c r="H75" s="574" t="e">
        <f ca="1">SUM(C75:G75)</f>
        <v>#VALUE!</v>
      </c>
      <c r="J75" s="578"/>
      <c r="N75" s="578"/>
    </row>
    <row r="76" spans="1:29">
      <c r="J76" s="578"/>
    </row>
    <row r="77" spans="1:29">
      <c r="A77" s="571" t="s">
        <v>280</v>
      </c>
      <c r="H77" s="631" t="e">
        <f ca="1">H75/H67</f>
        <v>#VALUE!</v>
      </c>
      <c r="J77" s="578"/>
    </row>
    <row r="78" spans="1:29">
      <c r="J78" s="578"/>
    </row>
    <row r="79" spans="1:29">
      <c r="A79" s="571" t="s">
        <v>281</v>
      </c>
      <c r="C79" s="632" t="e">
        <f ca="1">(C60-C61)-C67</f>
        <v>#VALUE!</v>
      </c>
      <c r="D79" s="632" t="e">
        <f t="shared" ref="D79:H79" ca="1" si="34">(D60-D61)-D67</f>
        <v>#VALUE!</v>
      </c>
      <c r="E79" s="632" t="e">
        <f t="shared" ca="1" si="34"/>
        <v>#VALUE!</v>
      </c>
      <c r="F79" s="632" t="e">
        <f t="shared" ca="1" si="34"/>
        <v>#VALUE!</v>
      </c>
      <c r="G79" s="632" t="e">
        <f ca="1">(G60-G61)-G67</f>
        <v>#VALUE!</v>
      </c>
      <c r="H79" s="632" t="e">
        <f t="shared" ca="1" si="34"/>
        <v>#VALUE!</v>
      </c>
      <c r="I79" s="571" t="s">
        <v>43</v>
      </c>
      <c r="J79" s="578"/>
      <c r="N79" s="572"/>
    </row>
    <row r="80" spans="1:29">
      <c r="A80" s="5" t="s">
        <v>282</v>
      </c>
      <c r="B80" s="5"/>
      <c r="C80" s="633" t="e">
        <f ca="1">(C41*(1-1/C56)-($E$136*1.2/3600)*(20-(C3)))/(C41*(1-1/C56))</f>
        <v>#DIV/0!</v>
      </c>
      <c r="D80" s="633" t="e">
        <f ca="1">(D41*(1-1/D56)-($E$136*1.2/3600)*(20-(D3)))/(D41*(1-1/D56))</f>
        <v>#DIV/0!</v>
      </c>
      <c r="E80" s="633" t="e">
        <f ca="1">(E41*(1-1/E56)-($E$136*1.2/3600)*(20-(E3)))/(E41*(1-1/E56))</f>
        <v>#DIV/0!</v>
      </c>
      <c r="F80" s="633" t="e">
        <f ca="1">(F41*(1-1/F56)-($E$136*1.2/3600)*(20-(F3)))/(F41*(1-1/F56))</f>
        <v>#DIV/0!</v>
      </c>
      <c r="G80" s="633" t="e">
        <f ca="1">(G41*(1-1/G56)-($E$136*1.2/3600)*(20-(G3)))/(G41*(1-1/G56))</f>
        <v>#DIV/0!</v>
      </c>
      <c r="J80" s="578"/>
    </row>
    <row r="81" spans="1:14">
      <c r="J81" s="578"/>
    </row>
    <row r="82" spans="1:14">
      <c r="A82" s="572" t="s">
        <v>283</v>
      </c>
      <c r="C82" s="5" t="e">
        <f ca="1">C79*C80</f>
        <v>#VALUE!</v>
      </c>
      <c r="D82" s="5" t="e">
        <f t="shared" ref="D82:G82" ca="1" si="35">D79*D80</f>
        <v>#VALUE!</v>
      </c>
      <c r="E82" s="5" t="e">
        <f t="shared" ca="1" si="35"/>
        <v>#VALUE!</v>
      </c>
      <c r="F82" s="5" t="e">
        <f t="shared" ca="1" si="35"/>
        <v>#VALUE!</v>
      </c>
      <c r="G82" s="5" t="e">
        <f t="shared" ca="1" si="35"/>
        <v>#VALUE!</v>
      </c>
      <c r="H82" s="634" t="e">
        <f ca="1">SUM(C82:G82)</f>
        <v>#VALUE!</v>
      </c>
      <c r="I82" s="571" t="s">
        <v>284</v>
      </c>
      <c r="J82" s="578"/>
      <c r="N82" s="572"/>
    </row>
    <row r="83" spans="1:14">
      <c r="J83" s="578"/>
    </row>
    <row r="84" spans="1:14">
      <c r="J84" s="578"/>
    </row>
    <row r="85" spans="1:14">
      <c r="H85" s="635">
        <f ca="1">IF(LEFT(E98,7)="Exhaust",H82/H79,1)</f>
        <v>1</v>
      </c>
      <c r="I85" s="571" t="s">
        <v>333</v>
      </c>
      <c r="J85" s="578"/>
    </row>
    <row r="86" spans="1:14">
      <c r="H86" s="574"/>
      <c r="J86" s="578"/>
    </row>
    <row r="87" spans="1:14">
      <c r="J87" s="578"/>
    </row>
    <row r="88" spans="1:14">
      <c r="J88" s="578"/>
    </row>
    <row r="89" spans="1:14" ht="25.5">
      <c r="A89" s="636" t="s">
        <v>568</v>
      </c>
      <c r="B89" s="637" t="s">
        <v>553</v>
      </c>
      <c r="C89" s="637" t="s">
        <v>554</v>
      </c>
      <c r="D89" s="637" t="s">
        <v>555</v>
      </c>
      <c r="E89" s="638"/>
      <c r="F89" s="638"/>
      <c r="G89" s="638"/>
      <c r="H89" s="638"/>
      <c r="I89" s="639"/>
      <c r="J89" s="578"/>
    </row>
    <row r="90" spans="1:14" ht="60" customHeight="1">
      <c r="A90" s="640" t="s">
        <v>551</v>
      </c>
      <c r="B90" s="640" t="str">
        <f>RIGHT(B89)</f>
        <v>1</v>
      </c>
      <c r="C90" s="640" t="str">
        <f>RIGHT(C89)</f>
        <v>2</v>
      </c>
      <c r="D90" s="640" t="str">
        <f>RIGHT(D89)</f>
        <v>3</v>
      </c>
      <c r="E90" s="640" t="s">
        <v>552</v>
      </c>
      <c r="F90" s="641" t="s">
        <v>547</v>
      </c>
      <c r="G90" s="641" t="s">
        <v>550</v>
      </c>
      <c r="H90" s="641" t="s">
        <v>556</v>
      </c>
      <c r="I90" s="578"/>
      <c r="J90" s="578"/>
    </row>
    <row r="91" spans="1:14" ht="15.75">
      <c r="A91" s="316" t="str">
        <f>HP_1!O12</f>
        <v>Same HP for Space and Water Heating</v>
      </c>
      <c r="B91" s="642" t="b">
        <f>HP_1!N12</f>
        <v>1</v>
      </c>
      <c r="C91" s="643" t="b" cm="1">
        <f t="array" aca="1" ref="C91" ca="1">INDIRECT($F91&amp;C$90&amp;"!"&amp;$G91)</f>
        <v>0</v>
      </c>
      <c r="D91" s="643" t="b" cm="1">
        <f t="array" aca="1" ref="D91" ca="1">INDIRECT($F91&amp;D$90&amp;"!"&amp;$G91)</f>
        <v>0</v>
      </c>
      <c r="E91" s="327" t="b">
        <f ca="1">VLOOKUP(A91,A91:D91,$K$1+1,FALSE)</f>
        <v>0</v>
      </c>
      <c r="F91" s="644" t="str">
        <f ca="1">LEFT(H91,FIND("1",H91)-1)</f>
        <v>HP_</v>
      </c>
      <c r="G91" s="644" t="str">
        <f ca="1">RIGHT(H91,LEN(H91)-FIND("!",H91))</f>
        <v>N12</v>
      </c>
      <c r="H91" s="645" t="str">
        <f ca="1">SUBSTITUTE( _xlfn.FORMULATEXT(B91),"=","")</f>
        <v>HP_1!N12</v>
      </c>
    </row>
    <row r="92" spans="1:14" ht="15.75">
      <c r="A92" s="316" t="str">
        <f>HP_1!A3</f>
        <v>Total heat loss (W/K) taken from DEAP</v>
      </c>
      <c r="B92" s="646">
        <f>HP_1!B3</f>
        <v>0</v>
      </c>
      <c r="C92" s="643" cm="1">
        <f t="array" aca="1" ref="C92" ca="1">INDIRECT($F92&amp;C$90&amp;"!"&amp;$G92)</f>
        <v>0</v>
      </c>
      <c r="D92" s="643" cm="1">
        <f t="array" aca="1" ref="D92" ca="1">INDIRECT($F92&amp;D$90&amp;"!"&amp;$G92)</f>
        <v>0</v>
      </c>
      <c r="E92" s="328">
        <f ca="1">VLOOKUP(A92,A92:D92,$K$1+1,FALSE)</f>
        <v>0</v>
      </c>
      <c r="F92" s="644" t="str">
        <f ca="1">LEFT(H92,FIND("1",H92)-1)</f>
        <v>HP_</v>
      </c>
      <c r="G92" s="644" t="str">
        <f ca="1">RIGHT(H92,LEN(H92)-FIND("!",H92))</f>
        <v>B3</v>
      </c>
      <c r="H92" s="645" t="str">
        <f ca="1">SUBSTITUTE( _xlfn.FORMULATEXT(B92),"=","")</f>
        <v>HP_1!B3</v>
      </c>
    </row>
    <row r="93" spans="1:14" ht="60">
      <c r="A93" s="316" t="str">
        <f>HP_1!A4</f>
        <v>Heat Loss Watts</v>
      </c>
      <c r="B93" s="642" t="str">
        <f>HP_1!B4</f>
        <v>Please complete DEAPEntries tab</v>
      </c>
      <c r="C93" s="643" t="str" cm="1">
        <f t="array" aca="1" ref="C93" ca="1">INDIRECT($F93&amp;C$90&amp;"!"&amp;$G93)</f>
        <v>Please complete DEAPEntries tab</v>
      </c>
      <c r="D93" s="643" t="str" cm="1">
        <f t="array" aca="1" ref="D93" ca="1">INDIRECT($F93&amp;D$90&amp;"!"&amp;$G93)</f>
        <v>Please complete DEAPEntries tab</v>
      </c>
      <c r="E93" s="328" t="str">
        <f t="shared" ref="E93:E150" ca="1" si="36">VLOOKUP(A93,A93:D93,$K$1+1,FALSE)</f>
        <v>Please complete DEAPEntries tab</v>
      </c>
      <c r="F93" s="644" t="str">
        <f t="shared" ref="F93:F150" ca="1" si="37">LEFT(H93,FIND("1",H93)-1)</f>
        <v>HP_</v>
      </c>
      <c r="G93" s="644" t="str">
        <f t="shared" ref="G93:G150" ca="1" si="38">RIGHT(H93,LEN(H93)-FIND("!",H93))</f>
        <v>B4</v>
      </c>
      <c r="H93" s="645" t="str">
        <f t="shared" ref="H93:H150" ca="1" si="39">SUBSTITUTE( _xlfn.FORMULATEXT(B93),"=","")</f>
        <v>HP_1!B4</v>
      </c>
    </row>
    <row r="94" spans="1:14" ht="31.5">
      <c r="A94" s="316" t="str">
        <f>HP_1!A5</f>
        <v>Is this Heat Pump part of a Group Heating Scheme</v>
      </c>
      <c r="B94" s="642" t="str">
        <f>HP_1!B5</f>
        <v>No</v>
      </c>
      <c r="C94" s="643" t="str" cm="1">
        <f t="array" aca="1" ref="C94" ca="1">INDIRECT($F94&amp;C$90&amp;"!"&amp;$G94)</f>
        <v>No</v>
      </c>
      <c r="D94" s="643" t="str" cm="1">
        <f t="array" aca="1" ref="D94" ca="1">INDIRECT($F94&amp;D$90&amp;"!"&amp;$G94)</f>
        <v>No</v>
      </c>
      <c r="E94" s="329" t="str">
        <f t="shared" ca="1" si="36"/>
        <v>No</v>
      </c>
      <c r="F94" s="644" t="str">
        <f t="shared" ca="1" si="37"/>
        <v>HP_</v>
      </c>
      <c r="G94" s="644" t="str">
        <f t="shared" ca="1" si="38"/>
        <v>B5</v>
      </c>
      <c r="H94" s="645" t="str">
        <f t="shared" ca="1" si="39"/>
        <v>HP_1!B5</v>
      </c>
    </row>
    <row r="95" spans="1:14" ht="31.5">
      <c r="A95" s="316" t="str">
        <f>HP_1!A6</f>
        <v>Proportion of main space heating provided by this heat pump</v>
      </c>
      <c r="B95" s="642">
        <f>HP_1!B6</f>
        <v>0</v>
      </c>
      <c r="C95" s="643" cm="1">
        <f t="array" aca="1" ref="C95" ca="1">INDIRECT($F95&amp;C$90&amp;"!"&amp;$G95)</f>
        <v>0</v>
      </c>
      <c r="D95" s="643" cm="1">
        <f t="array" aca="1" ref="D95" ca="1">INDIRECT($F95&amp;D$90&amp;"!"&amp;$G95)</f>
        <v>0</v>
      </c>
      <c r="E95" s="330">
        <f t="shared" ca="1" si="36"/>
        <v>0</v>
      </c>
      <c r="F95" s="644" t="str">
        <f t="shared" ca="1" si="37"/>
        <v>HP_</v>
      </c>
      <c r="G95" s="644" t="str">
        <f t="shared" ca="1" si="38"/>
        <v>B6</v>
      </c>
      <c r="H95" s="645" t="str">
        <f t="shared" ca="1" si="39"/>
        <v>HP_1!B6</v>
      </c>
    </row>
    <row r="96" spans="1:14" ht="15.75">
      <c r="A96" s="316" t="str">
        <f>HP_1!A7</f>
        <v>Floor Area of Dwelling</v>
      </c>
      <c r="B96" s="642">
        <f>HP_1!B7</f>
        <v>0</v>
      </c>
      <c r="C96" s="643" cm="1">
        <f t="array" aca="1" ref="C96" ca="1">INDIRECT($F96&amp;C$90&amp;"!"&amp;$G96)</f>
        <v>0</v>
      </c>
      <c r="D96" s="643" cm="1">
        <f t="array" aca="1" ref="D96" ca="1">INDIRECT($F96&amp;D$90&amp;"!"&amp;$G96)</f>
        <v>0</v>
      </c>
      <c r="E96" s="329">
        <f t="shared" ca="1" si="36"/>
        <v>0</v>
      </c>
      <c r="F96" s="644" t="str">
        <f t="shared" ca="1" si="37"/>
        <v>HP_</v>
      </c>
      <c r="G96" s="644" t="str">
        <f t="shared" ca="1" si="38"/>
        <v>B7</v>
      </c>
      <c r="H96" s="645" t="str">
        <f t="shared" ca="1" si="39"/>
        <v>HP_1!B7</v>
      </c>
    </row>
    <row r="97" spans="1:8" ht="31.5">
      <c r="A97" s="316" t="str">
        <f>HP_1!A8</f>
        <v>If Heat Pump serves a Group Heat Scheme, the total Floor Area served by Heat Pump is:</v>
      </c>
      <c r="B97" s="642">
        <f>HP_1!B8</f>
        <v>0</v>
      </c>
      <c r="C97" s="643" cm="1">
        <f t="array" aca="1" ref="C97" ca="1">INDIRECT($F97&amp;C$90&amp;"!"&amp;$G97)</f>
        <v>0</v>
      </c>
      <c r="D97" s="643" cm="1">
        <f t="array" aca="1" ref="D97" ca="1">INDIRECT($F97&amp;D$90&amp;"!"&amp;$G97)</f>
        <v>0</v>
      </c>
      <c r="E97" s="329">
        <f t="shared" ca="1" si="36"/>
        <v>0</v>
      </c>
      <c r="F97" s="644" t="str">
        <f t="shared" ca="1" si="37"/>
        <v>HP_</v>
      </c>
      <c r="G97" s="644" t="str">
        <f t="shared" ca="1" si="38"/>
        <v>B8</v>
      </c>
      <c r="H97" s="645" t="str">
        <f t="shared" ca="1" si="39"/>
        <v>HP_1!B8</v>
      </c>
    </row>
    <row r="98" spans="1:8" ht="15.75">
      <c r="A98" s="316" t="str">
        <f>HP_1!A12</f>
        <v>Type of heat pump</v>
      </c>
      <c r="B98" s="642" t="str">
        <f>HP_1!B12</f>
        <v>Air to Water</v>
      </c>
      <c r="C98" s="643" t="str" cm="1">
        <f t="array" aca="1" ref="C98" ca="1">INDIRECT($F98&amp;C$90&amp;"!"&amp;$G98)</f>
        <v>Air to Water</v>
      </c>
      <c r="D98" s="643" t="str" cm="1">
        <f t="array" aca="1" ref="D98" ca="1">INDIRECT($F98&amp;D$90&amp;"!"&amp;$G98)</f>
        <v>Air to Water</v>
      </c>
      <c r="E98" s="329" t="str">
        <f t="shared" ca="1" si="36"/>
        <v>Air to Water</v>
      </c>
      <c r="F98" s="644" t="str">
        <f t="shared" ca="1" si="37"/>
        <v>HP_</v>
      </c>
      <c r="G98" s="644" t="str">
        <f t="shared" ca="1" si="38"/>
        <v>B12</v>
      </c>
      <c r="H98" s="645" t="str">
        <f t="shared" ca="1" si="39"/>
        <v>HP_1!B12</v>
      </c>
    </row>
    <row r="99" spans="1:8" ht="47.25">
      <c r="A99" s="316" t="str">
        <f>HP_1!A13</f>
        <v>Temperature Control 
(refered to as Capacity Control in Ecodesign Standard Template)</v>
      </c>
      <c r="B99" s="642" t="str">
        <f>HP_1!B13</f>
        <v>Fixed Outlet</v>
      </c>
      <c r="C99" s="643" t="str" cm="1">
        <f t="array" aca="1" ref="C99" ca="1">INDIRECT($F99&amp;C$90&amp;"!"&amp;$G99)</f>
        <v>Fixed Outlet</v>
      </c>
      <c r="D99" s="643" t="str" cm="1">
        <f t="array" aca="1" ref="D99" ca="1">INDIRECT($F99&amp;D$90&amp;"!"&amp;$G99)</f>
        <v>Fixed Outlet</v>
      </c>
      <c r="E99" s="329" t="str">
        <f t="shared" ca="1" si="36"/>
        <v>Fixed Outlet</v>
      </c>
      <c r="F99" s="644" t="str">
        <f t="shared" ca="1" si="37"/>
        <v>HP_</v>
      </c>
      <c r="G99" s="644" t="str">
        <f t="shared" ca="1" si="38"/>
        <v>B13</v>
      </c>
      <c r="H99" s="645" t="str">
        <f t="shared" ca="1" si="39"/>
        <v>HP_1!B13</v>
      </c>
    </row>
    <row r="100" spans="1:8" ht="15.75">
      <c r="A100" s="316" t="str">
        <f>HP_1!A14</f>
        <v>Space Heating Test Standard</v>
      </c>
      <c r="B100" s="646" t="str">
        <f>HP_1!B14</f>
        <v>I.S. EN 14825</v>
      </c>
      <c r="C100" s="643" t="str" cm="1">
        <f t="array" aca="1" ref="C100" ca="1">INDIRECT($F100&amp;C$90&amp;"!"&amp;$G100)</f>
        <v>I.S. EN 14825</v>
      </c>
      <c r="D100" s="643" t="str" cm="1">
        <f t="array" aca="1" ref="D100" ca="1">INDIRECT($F100&amp;D$90&amp;"!"&amp;$G100)</f>
        <v>I.S. EN 14825</v>
      </c>
      <c r="E100" s="327" t="str">
        <f t="shared" ca="1" si="36"/>
        <v>I.S. EN 14825</v>
      </c>
      <c r="F100" s="644" t="str">
        <f t="shared" ca="1" si="37"/>
        <v>HP_</v>
      </c>
      <c r="G100" s="644" t="str">
        <f t="shared" ca="1" si="38"/>
        <v>B14</v>
      </c>
      <c r="H100" s="645" t="str">
        <f t="shared" ca="1" si="39"/>
        <v>HP_1!B14</v>
      </c>
    </row>
    <row r="101" spans="1:8" ht="15.75">
      <c r="A101" s="316" t="str">
        <f>HP_1!A15</f>
        <v>Operation Limit Temperature (TOL)</v>
      </c>
      <c r="B101" s="646" t="str">
        <f>HP_1!B15</f>
        <v xml:space="preserve"> </v>
      </c>
      <c r="C101" s="643" cm="1">
        <f t="array" aca="1" ref="C101" ca="1">INDIRECT($F101&amp;C$90&amp;"!"&amp;$G101)</f>
        <v>0</v>
      </c>
      <c r="D101" s="643" cm="1">
        <f t="array" aca="1" ref="D101" ca="1">INDIRECT($F101&amp;D$90&amp;"!"&amp;$G101)</f>
        <v>0</v>
      </c>
      <c r="E101" s="327">
        <f t="shared" ca="1" si="36"/>
        <v>0</v>
      </c>
      <c r="F101" s="644" t="str">
        <f t="shared" ca="1" si="37"/>
        <v>HP_</v>
      </c>
      <c r="G101" s="644" t="str">
        <f t="shared" ca="1" si="38"/>
        <v>B15</v>
      </c>
      <c r="H101" s="645" t="str">
        <f t="shared" ca="1" si="39"/>
        <v>HP_1!B15</v>
      </c>
    </row>
    <row r="102" spans="1:8" ht="31.5">
      <c r="A102" s="316" t="str">
        <f>HP_1!A16</f>
        <v>Heating water operating limit temperature (WTOL)</v>
      </c>
      <c r="B102" s="646" t="str">
        <f>HP_1!B16</f>
        <v xml:space="preserve"> </v>
      </c>
      <c r="C102" s="643" cm="1">
        <f t="array" aca="1" ref="C102" ca="1">INDIRECT($F102&amp;C$90&amp;"!"&amp;$G102)</f>
        <v>0</v>
      </c>
      <c r="D102" s="643" cm="1">
        <f t="array" aca="1" ref="D102" ca="1">INDIRECT($F102&amp;D$90&amp;"!"&amp;$G102)</f>
        <v>0</v>
      </c>
      <c r="E102" s="327">
        <f t="shared" ca="1" si="36"/>
        <v>0</v>
      </c>
      <c r="F102" s="644" t="str">
        <f t="shared" ca="1" si="37"/>
        <v>HP_</v>
      </c>
      <c r="G102" s="644" t="str">
        <f t="shared" ca="1" si="38"/>
        <v>B16</v>
      </c>
      <c r="H102" s="645" t="str">
        <f t="shared" ca="1" si="39"/>
        <v>HP_1!B16</v>
      </c>
    </row>
    <row r="103" spans="1:8" ht="15.75">
      <c r="A103" s="316" t="str">
        <f>HP_1!A17</f>
        <v>Annual space heating provided by Heat Pump</v>
      </c>
      <c r="B103" s="646">
        <f>HP_1!B17</f>
        <v>0</v>
      </c>
      <c r="C103" s="643" cm="1">
        <f t="array" aca="1" ref="C103" ca="1">INDIRECT($F103&amp;C$90&amp;"!"&amp;$G103)</f>
        <v>0</v>
      </c>
      <c r="D103" s="643" cm="1">
        <f t="array" aca="1" ref="D103" ca="1">INDIRECT($F103&amp;D$90&amp;"!"&amp;$G103)</f>
        <v>0</v>
      </c>
      <c r="E103" s="331">
        <f t="shared" ca="1" si="36"/>
        <v>0</v>
      </c>
      <c r="F103" s="644" t="str">
        <f t="shared" ca="1" si="37"/>
        <v>HP_</v>
      </c>
      <c r="G103" s="644" t="str">
        <f t="shared" ca="1" si="38"/>
        <v>B17</v>
      </c>
      <c r="H103" s="645" t="str">
        <f t="shared" ca="1" si="39"/>
        <v>HP_1!B17</v>
      </c>
    </row>
    <row r="104" spans="1:8" ht="15.75">
      <c r="A104" s="316" t="str">
        <f>HP_1!A18</f>
        <v>Design Outdoor Temperature</v>
      </c>
      <c r="B104" s="642">
        <f>HP_1!B18</f>
        <v>-3</v>
      </c>
      <c r="C104" s="643" cm="1">
        <f t="array" aca="1" ref="C104" ca="1">INDIRECT($F104&amp;C$90&amp;"!"&amp;$G104)</f>
        <v>-3</v>
      </c>
      <c r="D104" s="643" cm="1">
        <f t="array" aca="1" ref="D104" ca="1">INDIRECT($F104&amp;D$90&amp;"!"&amp;$G104)</f>
        <v>-3</v>
      </c>
      <c r="E104" s="327">
        <f t="shared" ca="1" si="36"/>
        <v>-3</v>
      </c>
      <c r="F104" s="644" t="str">
        <f t="shared" ca="1" si="37"/>
        <v>HP_</v>
      </c>
      <c r="G104" s="644" t="str">
        <f t="shared" ca="1" si="38"/>
        <v>B18</v>
      </c>
      <c r="H104" s="645" t="str">
        <f t="shared" ca="1" si="39"/>
        <v>HP_1!B18</v>
      </c>
    </row>
    <row r="105" spans="1:8" ht="31.5">
      <c r="A105" s="316" t="str">
        <f>HP_1!A19</f>
        <v>Indoor Design Temperature (Mean Internal Temperature)</v>
      </c>
      <c r="B105" s="647" t="str">
        <f>HP_1!B19</f>
        <v>Please complete DEAP Entries tab</v>
      </c>
      <c r="C105" s="643" t="str" cm="1">
        <f t="array" aca="1" ref="C105" ca="1">INDIRECT($F105&amp;C$90&amp;"!"&amp;$G105)</f>
        <v>Please complete DEAP Entries tab</v>
      </c>
      <c r="D105" s="643" t="str" cm="1">
        <f t="array" aca="1" ref="D105" ca="1">INDIRECT($F105&amp;D$90&amp;"!"&amp;$G105)</f>
        <v>Please complete DEAP Entries tab</v>
      </c>
      <c r="E105" s="327" t="str">
        <f t="shared" ca="1" si="36"/>
        <v>Please complete DEAP Entries tab</v>
      </c>
      <c r="F105" s="644" t="str">
        <f t="shared" ca="1" si="37"/>
        <v>HP_</v>
      </c>
      <c r="G105" s="644" t="str">
        <f t="shared" ca="1" si="38"/>
        <v>B19</v>
      </c>
      <c r="H105" s="645" t="str">
        <f t="shared" ca="1" si="39"/>
        <v>HP_1!B19</v>
      </c>
    </row>
    <row r="106" spans="1:8" ht="15.75">
      <c r="A106" s="316" t="str">
        <f>HP_1!A24</f>
        <v>Air used as Emitter (to Air Units)</v>
      </c>
      <c r="B106" s="642" t="str">
        <f>HP_1!B24</f>
        <v>No</v>
      </c>
      <c r="C106" s="643" t="str" cm="1">
        <f t="array" aca="1" ref="C106" ca="1">INDIRECT($F106&amp;C$90&amp;"!"&amp;$G106)</f>
        <v>No</v>
      </c>
      <c r="D106" s="643" t="str" cm="1">
        <f t="array" aca="1" ref="D106" ca="1">INDIRECT($F106&amp;D$90&amp;"!"&amp;$G106)</f>
        <v>No</v>
      </c>
      <c r="E106" s="327" t="str">
        <f t="shared" ca="1" si="36"/>
        <v>No</v>
      </c>
      <c r="F106" s="644" t="str">
        <f t="shared" ca="1" si="37"/>
        <v>HP_</v>
      </c>
      <c r="G106" s="644" t="str">
        <f t="shared" ca="1" si="38"/>
        <v>B24</v>
      </c>
      <c r="H106" s="645" t="str">
        <f t="shared" ca="1" si="39"/>
        <v>HP_1!B24</v>
      </c>
    </row>
    <row r="107" spans="1:8" ht="47.25">
      <c r="A107" s="316" t="str">
        <f>HP_1!A25</f>
        <v>Design Flow Temperature
Use "Default Supply Temperature" unless other evidence available</v>
      </c>
      <c r="B107" s="642">
        <f>HP_1!B25</f>
        <v>0</v>
      </c>
      <c r="C107" s="643" cm="1">
        <f t="array" aca="1" ref="C107" ca="1">INDIRECT($F107&amp;C$90&amp;"!"&amp;$G107)</f>
        <v>0</v>
      </c>
      <c r="D107" s="643" cm="1">
        <f t="array" aca="1" ref="D107" ca="1">INDIRECT($F107&amp;D$90&amp;"!"&amp;$G107)</f>
        <v>0</v>
      </c>
      <c r="E107" s="327">
        <f t="shared" ca="1" si="36"/>
        <v>0</v>
      </c>
      <c r="F107" s="644" t="str">
        <f t="shared" ca="1" si="37"/>
        <v>HP_</v>
      </c>
      <c r="G107" s="644" t="str">
        <f t="shared" ca="1" si="38"/>
        <v>B25</v>
      </c>
      <c r="H107" s="645" t="str">
        <f t="shared" ca="1" si="39"/>
        <v>HP_1!B25</v>
      </c>
    </row>
    <row r="108" spans="1:8" ht="31.5">
      <c r="A108" s="316" t="str">
        <f>HP_1!A26</f>
        <v>Exponent n, characterising type of emission system</v>
      </c>
      <c r="B108" s="642">
        <f>HP_1!B26</f>
        <v>1.2</v>
      </c>
      <c r="C108" s="643" cm="1">
        <f t="array" aca="1" ref="C108" ca="1">INDIRECT($F108&amp;C$90&amp;"!"&amp;$G108)</f>
        <v>1.2</v>
      </c>
      <c r="D108" s="643" cm="1">
        <f t="array" aca="1" ref="D108" ca="1">INDIRECT($F108&amp;D$90&amp;"!"&amp;$G108)</f>
        <v>1.2</v>
      </c>
      <c r="E108" s="327">
        <f t="shared" ca="1" si="36"/>
        <v>1.2</v>
      </c>
      <c r="F108" s="644" t="str">
        <f t="shared" ca="1" si="37"/>
        <v>HP_</v>
      </c>
      <c r="G108" s="644" t="str">
        <f t="shared" ca="1" si="38"/>
        <v>B26</v>
      </c>
      <c r="H108" s="645" t="str">
        <f t="shared" ca="1" si="39"/>
        <v>HP_1!B26</v>
      </c>
    </row>
    <row r="109" spans="1:8" ht="15.75">
      <c r="A109" s="316" t="str">
        <f>HP_1!A27</f>
        <v>Emitter Temperature Drop</v>
      </c>
      <c r="B109" s="642">
        <f>HP_1!B27</f>
        <v>10</v>
      </c>
      <c r="C109" s="643" cm="1">
        <f t="array" aca="1" ref="C109" ca="1">INDIRECT($F109&amp;C$90&amp;"!"&amp;$G109)</f>
        <v>10</v>
      </c>
      <c r="D109" s="643" cm="1">
        <f t="array" aca="1" ref="D109" ca="1">INDIRECT($F109&amp;D$90&amp;"!"&amp;$G109)</f>
        <v>10</v>
      </c>
      <c r="E109" s="327">
        <f t="shared" ca="1" si="36"/>
        <v>10</v>
      </c>
      <c r="F109" s="644" t="str">
        <f t="shared" ca="1" si="37"/>
        <v>HP_</v>
      </c>
      <c r="G109" s="644" t="str">
        <f t="shared" ca="1" si="38"/>
        <v>B27</v>
      </c>
      <c r="H109" s="645" t="str">
        <f t="shared" ca="1" si="39"/>
        <v>HP_1!B27</v>
      </c>
    </row>
    <row r="110" spans="1:8" ht="15.75">
      <c r="A110" s="316" t="str">
        <f>HP_1!A28</f>
        <v>Return Temperature at design conditions</v>
      </c>
      <c r="B110" s="642">
        <f>HP_1!B28</f>
        <v>-10</v>
      </c>
      <c r="C110" s="643" cm="1">
        <f t="array" aca="1" ref="C110" ca="1">INDIRECT($F110&amp;C$90&amp;"!"&amp;$G110)</f>
        <v>-10</v>
      </c>
      <c r="D110" s="643" cm="1">
        <f t="array" aca="1" ref="D110" ca="1">INDIRECT($F110&amp;D$90&amp;"!"&amp;$G110)</f>
        <v>-10</v>
      </c>
      <c r="E110" s="327">
        <f t="shared" ca="1" si="36"/>
        <v>-10</v>
      </c>
      <c r="F110" s="644" t="str">
        <f t="shared" ca="1" si="37"/>
        <v>HP_</v>
      </c>
      <c r="G110" s="644" t="str">
        <f t="shared" ca="1" si="38"/>
        <v>B28</v>
      </c>
      <c r="H110" s="645" t="str">
        <f t="shared" ca="1" si="39"/>
        <v>HP_1!B28</v>
      </c>
    </row>
    <row r="111" spans="1:8" ht="15.75">
      <c r="A111" s="316" t="str">
        <f>HP_1!A29</f>
        <v>No of Hrs per Day Heat Pump in Operation</v>
      </c>
      <c r="B111" s="648">
        <f>HP_1!B29</f>
        <v>8</v>
      </c>
      <c r="C111" s="643" cm="1">
        <f t="array" aca="1" ref="C111" ca="1">INDIRECT($F111&amp;C$90&amp;"!"&amp;$G111)</f>
        <v>8</v>
      </c>
      <c r="D111" s="643" cm="1">
        <f t="array" aca="1" ref="D111" ca="1">INDIRECT($F111&amp;D$90&amp;"!"&amp;$G111)</f>
        <v>8</v>
      </c>
      <c r="E111" s="327">
        <f t="shared" ca="1" si="36"/>
        <v>8</v>
      </c>
      <c r="F111" s="644" t="str">
        <f t="shared" ca="1" si="37"/>
        <v>HP_</v>
      </c>
      <c r="G111" s="644" t="str">
        <f t="shared" ca="1" si="38"/>
        <v>B29</v>
      </c>
      <c r="H111" s="645" t="str">
        <f t="shared" ca="1" si="39"/>
        <v>HP_1!B29</v>
      </c>
    </row>
    <row r="112" spans="1:8" ht="15.75">
      <c r="A112" s="316" t="str">
        <f>HP_1!A30</f>
        <v>Cut-out hours</v>
      </c>
      <c r="B112" s="642">
        <f>HP_1!B30</f>
        <v>16</v>
      </c>
      <c r="C112" s="643" cm="1">
        <f t="array" aca="1" ref="C112" ca="1">INDIRECT($F112&amp;C$90&amp;"!"&amp;$G112)</f>
        <v>16</v>
      </c>
      <c r="D112" s="643" cm="1">
        <f t="array" aca="1" ref="D112" ca="1">INDIRECT($F112&amp;D$90&amp;"!"&amp;$G112)</f>
        <v>16</v>
      </c>
      <c r="E112" s="327">
        <f t="shared" ca="1" si="36"/>
        <v>16</v>
      </c>
      <c r="F112" s="644" t="str">
        <f t="shared" ca="1" si="37"/>
        <v>HP_</v>
      </c>
      <c r="G112" s="644" t="str">
        <f t="shared" ca="1" si="38"/>
        <v>B30</v>
      </c>
      <c r="H112" s="645" t="str">
        <f t="shared" ca="1" si="39"/>
        <v>HP_1!B30</v>
      </c>
    </row>
    <row r="113" spans="1:8" ht="15.75">
      <c r="A113" s="316" t="str">
        <f>HP_1!A31</f>
        <v>Heat pump fuel primary energy factor</v>
      </c>
      <c r="B113" s="642">
        <f>HP_1!B31</f>
        <v>2.08</v>
      </c>
      <c r="C113" s="643" cm="1">
        <f t="array" aca="1" ref="C113" ca="1">INDIRECT($F113&amp;C$90&amp;"!"&amp;$G113)</f>
        <v>2.08</v>
      </c>
      <c r="D113" s="643" cm="1">
        <f t="array" aca="1" ref="D113" ca="1">INDIRECT($F113&amp;D$90&amp;"!"&amp;$G113)</f>
        <v>2.08</v>
      </c>
      <c r="E113" s="327">
        <f t="shared" ca="1" si="36"/>
        <v>2.08</v>
      </c>
      <c r="F113" s="644" t="str">
        <f t="shared" ca="1" si="37"/>
        <v>HP_</v>
      </c>
      <c r="G113" s="644" t="str">
        <f t="shared" ca="1" si="38"/>
        <v>B31</v>
      </c>
      <c r="H113" s="645" t="str">
        <f t="shared" ca="1" si="39"/>
        <v>HP_1!B31</v>
      </c>
    </row>
    <row r="114" spans="1:8" ht="31.5">
      <c r="A114" s="316" t="str">
        <f>HP_1!A32</f>
        <v>Is a Back Up Space Heater Present within Dwelling</v>
      </c>
      <c r="B114" s="642" t="str">
        <f>HP_1!B32</f>
        <v>No</v>
      </c>
      <c r="C114" s="643" t="str" cm="1">
        <f t="array" aca="1" ref="C114" ca="1">INDIRECT($F114&amp;C$90&amp;"!"&amp;$G114)</f>
        <v>No</v>
      </c>
      <c r="D114" s="643" t="str" cm="1">
        <f t="array" aca="1" ref="D114" ca="1">INDIRECT($F114&amp;D$90&amp;"!"&amp;$G114)</f>
        <v>No</v>
      </c>
      <c r="E114" s="327" t="str">
        <f t="shared" ca="1" si="36"/>
        <v>No</v>
      </c>
      <c r="F114" s="644" t="str">
        <f t="shared" ca="1" si="37"/>
        <v>HP_</v>
      </c>
      <c r="G114" s="644" t="str">
        <f t="shared" ca="1" si="38"/>
        <v>B32</v>
      </c>
      <c r="H114" s="645" t="str">
        <f t="shared" ca="1" si="39"/>
        <v>HP_1!B32</v>
      </c>
    </row>
    <row r="115" spans="1:8" ht="15.75">
      <c r="A115" s="316" t="str">
        <f>HP_1!A33</f>
        <v>Back Up Space Heater Fuel</v>
      </c>
      <c r="B115" s="642" t="str">
        <f>HP_1!B33</f>
        <v>Electricity</v>
      </c>
      <c r="C115" s="643" t="str" cm="1">
        <f t="array" aca="1" ref="C115" ca="1">INDIRECT($F115&amp;C$90&amp;"!"&amp;$G115)</f>
        <v>Electricity</v>
      </c>
      <c r="D115" s="643" t="str" cm="1">
        <f t="array" aca="1" ref="D115" ca="1">INDIRECT($F115&amp;D$90&amp;"!"&amp;$G115)</f>
        <v>Electricity</v>
      </c>
      <c r="E115" s="327" t="str">
        <f t="shared" ca="1" si="36"/>
        <v>Electricity</v>
      </c>
      <c r="F115" s="644" t="str">
        <f t="shared" ca="1" si="37"/>
        <v>HP_</v>
      </c>
      <c r="G115" s="644" t="str">
        <f t="shared" ca="1" si="38"/>
        <v>B33</v>
      </c>
      <c r="H115" s="645" t="str">
        <f t="shared" ca="1" si="39"/>
        <v>HP_1!B33</v>
      </c>
    </row>
    <row r="116" spans="1:8" ht="15.75">
      <c r="A116" s="316" t="str">
        <f>HP_1!A34</f>
        <v>Primary Energy Factor for Back Up Space Heater</v>
      </c>
      <c r="B116" s="642">
        <f>HP_1!B34</f>
        <v>2.08</v>
      </c>
      <c r="C116" s="643" cm="1">
        <f t="array" aca="1" ref="C116" ca="1">INDIRECT($F116&amp;C$90&amp;"!"&amp;$G116)</f>
        <v>2.08</v>
      </c>
      <c r="D116" s="643" cm="1">
        <f t="array" aca="1" ref="D116" ca="1">INDIRECT($F116&amp;D$90&amp;"!"&amp;$G116)</f>
        <v>2.08</v>
      </c>
      <c r="E116" s="327">
        <f t="shared" ca="1" si="36"/>
        <v>2.08</v>
      </c>
      <c r="F116" s="644" t="str">
        <f t="shared" ca="1" si="37"/>
        <v>HP_</v>
      </c>
      <c r="G116" s="644" t="str">
        <f t="shared" ca="1" si="38"/>
        <v>B34</v>
      </c>
      <c r="H116" s="645" t="str">
        <f t="shared" ca="1" si="39"/>
        <v>HP_1!B34</v>
      </c>
    </row>
    <row r="117" spans="1:8" ht="15.75">
      <c r="A117" s="316" t="str">
        <f>HP_1!A35</f>
        <v>Efficiency of Back up Space Heater</v>
      </c>
      <c r="B117" s="642">
        <f>HP_1!B35</f>
        <v>0</v>
      </c>
      <c r="C117" s="643" cm="1">
        <f t="array" aca="1" ref="C117" ca="1">INDIRECT($F117&amp;C$90&amp;"!"&amp;$G117)</f>
        <v>0</v>
      </c>
      <c r="D117" s="643" cm="1">
        <f t="array" aca="1" ref="D117" ca="1">INDIRECT($F117&amp;D$90&amp;"!"&amp;$G117)</f>
        <v>0</v>
      </c>
      <c r="E117" s="327">
        <f t="shared" ca="1" si="36"/>
        <v>0</v>
      </c>
      <c r="F117" s="644" t="str">
        <f t="shared" ca="1" si="37"/>
        <v>HP_</v>
      </c>
      <c r="G117" s="644" t="str">
        <f t="shared" ca="1" si="38"/>
        <v>B35</v>
      </c>
      <c r="H117" s="645" t="str">
        <f t="shared" ca="1" si="39"/>
        <v>HP_1!B35</v>
      </c>
    </row>
    <row r="118" spans="1:8" ht="31.5">
      <c r="A118" s="316" t="str">
        <f>HP_1!A36</f>
        <v>Adjusted Efficiency of Back up Space Heater relative to fuel used for heat pump</v>
      </c>
      <c r="B118" s="649">
        <f>HP_1!B36</f>
        <v>1</v>
      </c>
      <c r="C118" s="643" cm="1">
        <f t="array" aca="1" ref="C118" ca="1">INDIRECT($F118&amp;C$90&amp;"!"&amp;$G118)</f>
        <v>1</v>
      </c>
      <c r="D118" s="643" cm="1">
        <f t="array" aca="1" ref="D118" ca="1">INDIRECT($F118&amp;D$90&amp;"!"&amp;$G118)</f>
        <v>1</v>
      </c>
      <c r="E118" s="332">
        <f t="shared" ca="1" si="36"/>
        <v>1</v>
      </c>
      <c r="F118" s="644" t="str">
        <f t="shared" ca="1" si="37"/>
        <v>HP_</v>
      </c>
      <c r="G118" s="644" t="str">
        <f t="shared" ca="1" si="38"/>
        <v>B36</v>
      </c>
      <c r="H118" s="645" t="str">
        <f t="shared" ca="1" si="39"/>
        <v>HP_1!B36</v>
      </c>
    </row>
    <row r="119" spans="1:8" ht="30">
      <c r="A119" s="316" t="str">
        <f>HP_1!$AD$1&amp;": temp1"</f>
        <v>Test temps: temp1</v>
      </c>
      <c r="B119" s="642" t="str">
        <f>HP_1!$AD2</f>
        <v>Low Temperature</v>
      </c>
      <c r="C119" s="643" t="str" cm="1">
        <f t="array" aca="1" ref="C119" ca="1">INDIRECT($F119&amp;C$90&amp;"!"&amp;$G119)</f>
        <v>Low Temperature</v>
      </c>
      <c r="D119" s="643" t="str" cm="1">
        <f t="array" aca="1" ref="D119" ca="1">INDIRECT($F119&amp;D$90&amp;"!"&amp;$G119)</f>
        <v>Low Temperature</v>
      </c>
      <c r="E119" s="329" t="str">
        <f t="shared" ca="1" si="36"/>
        <v>Low Temperature</v>
      </c>
      <c r="F119" s="644" t="str">
        <f t="shared" ca="1" si="37"/>
        <v>HP_</v>
      </c>
      <c r="G119" s="644" t="str">
        <f t="shared" ca="1" si="38"/>
        <v>$AD2</v>
      </c>
      <c r="H119" s="645" t="str">
        <f t="shared" ca="1" si="39"/>
        <v>HP_1!$AD2</v>
      </c>
    </row>
    <row r="120" spans="1:8" ht="30">
      <c r="A120" s="316" t="str">
        <f>HP_1!$AD$1&amp;": temp2"</f>
        <v>Test temps: temp2</v>
      </c>
      <c r="B120" s="642" t="str">
        <f>HP_1!$AD3</f>
        <v>Medium Temperature</v>
      </c>
      <c r="C120" s="643" t="str" cm="1">
        <f t="array" aca="1" ref="C120" ca="1">INDIRECT($F120&amp;C$90&amp;"!"&amp;$G120)</f>
        <v>Medium Temperature</v>
      </c>
      <c r="D120" s="643" t="str" cm="1">
        <f t="array" aca="1" ref="D120" ca="1">INDIRECT($F120&amp;D$90&amp;"!"&amp;$G120)</f>
        <v>Medium Temperature</v>
      </c>
      <c r="E120" s="329" t="str">
        <f t="shared" ca="1" si="36"/>
        <v>Medium Temperature</v>
      </c>
      <c r="F120" s="644" t="str">
        <f t="shared" ca="1" si="37"/>
        <v>HP_</v>
      </c>
      <c r="G120" s="644" t="str">
        <f t="shared" ca="1" si="38"/>
        <v>$AD3</v>
      </c>
      <c r="H120" s="645" t="str">
        <f t="shared" ca="1" si="39"/>
        <v>HP_1!$AD3</v>
      </c>
    </row>
    <row r="121" spans="1:8" ht="30">
      <c r="A121" s="316" t="str">
        <f>HP_1!$AD$1&amp;": temp3"</f>
        <v>Test temps: temp3</v>
      </c>
      <c r="B121" s="642" t="str">
        <f>HP_1!$AD4</f>
        <v>High Temperature</v>
      </c>
      <c r="C121" s="643" t="str" cm="1">
        <f t="array" aca="1" ref="C121" ca="1">INDIRECT($F121&amp;C$90&amp;"!"&amp;$G121)</f>
        <v>High Temperature</v>
      </c>
      <c r="D121" s="643" t="str" cm="1">
        <f t="array" aca="1" ref="D121" ca="1">INDIRECT($F121&amp;D$90&amp;"!"&amp;$G121)</f>
        <v>High Temperature</v>
      </c>
      <c r="E121" s="329" t="str">
        <f t="shared" ca="1" si="36"/>
        <v>High Temperature</v>
      </c>
      <c r="F121" s="644" t="str">
        <f t="shared" ca="1" si="37"/>
        <v>HP_</v>
      </c>
      <c r="G121" s="644" t="str">
        <f t="shared" ca="1" si="38"/>
        <v>$AD4</v>
      </c>
      <c r="H121" s="645" t="str">
        <f t="shared" ca="1" si="39"/>
        <v>HP_1!$AD4</v>
      </c>
    </row>
    <row r="122" spans="1:8" ht="30">
      <c r="A122" s="316" t="str">
        <f>HP_1!$AD$1&amp;": temp4"</f>
        <v>Test temps: temp4</v>
      </c>
      <c r="B122" s="642" t="str">
        <f>HP_1!$AD5</f>
        <v>Very high Temperature</v>
      </c>
      <c r="C122" s="643" t="str" cm="1">
        <f t="array" aca="1" ref="C122" ca="1">INDIRECT($F122&amp;C$90&amp;"!"&amp;$G122)</f>
        <v>Very high Temperature</v>
      </c>
      <c r="D122" s="643" t="str" cm="1">
        <f t="array" aca="1" ref="D122" ca="1">INDIRECT($F122&amp;D$90&amp;"!"&amp;$G122)</f>
        <v>Very high Temperature</v>
      </c>
      <c r="E122" s="329" t="str">
        <f t="shared" ca="1" si="36"/>
        <v>Very high Temperature</v>
      </c>
      <c r="F122" s="644" t="str">
        <f t="shared" ca="1" si="37"/>
        <v>HP_</v>
      </c>
      <c r="G122" s="644" t="str">
        <f t="shared" ca="1" si="38"/>
        <v>$AD5</v>
      </c>
      <c r="H122" s="645" t="str">
        <f t="shared" ca="1" si="39"/>
        <v>HP_1!$AD5</v>
      </c>
    </row>
    <row r="123" spans="1:8" ht="15.75">
      <c r="A123" s="316" t="str">
        <f>HP_1!$AE$1&amp;": temp1"</f>
        <v>For HP tab: temp1</v>
      </c>
      <c r="B123" s="642" t="str">
        <f>HP_1!$AE2</f>
        <v>Low</v>
      </c>
      <c r="C123" s="643" t="str" cm="1">
        <f t="array" aca="1" ref="C123" ca="1">INDIRECT($F123&amp;C$90&amp;"!"&amp;$G123)</f>
        <v>Low</v>
      </c>
      <c r="D123" s="643" t="str" cm="1">
        <f t="array" aca="1" ref="D123" ca="1">INDIRECT($F123&amp;D$90&amp;"!"&amp;$G123)</f>
        <v>Low</v>
      </c>
      <c r="E123" s="329" t="str">
        <f t="shared" ca="1" si="36"/>
        <v>Low</v>
      </c>
      <c r="F123" s="644" t="str">
        <f t="shared" ca="1" si="37"/>
        <v>HP_</v>
      </c>
      <c r="G123" s="644" t="str">
        <f t="shared" ca="1" si="38"/>
        <v>$AE2</v>
      </c>
      <c r="H123" s="645" t="str">
        <f t="shared" ca="1" si="39"/>
        <v>HP_1!$AE2</v>
      </c>
    </row>
    <row r="124" spans="1:8" ht="15.75">
      <c r="A124" s="316" t="str">
        <f>HP_1!$AE$1&amp;": temp2"</f>
        <v>For HP tab: temp2</v>
      </c>
      <c r="B124" s="642" t="str">
        <f>HP_1!$AE3</f>
        <v>Medium</v>
      </c>
      <c r="C124" s="643" t="str" cm="1">
        <f t="array" aca="1" ref="C124" ca="1">INDIRECT($F124&amp;C$90&amp;"!"&amp;$G124)</f>
        <v>Medium</v>
      </c>
      <c r="D124" s="643" t="str" cm="1">
        <f t="array" aca="1" ref="D124" ca="1">INDIRECT($F124&amp;D$90&amp;"!"&amp;$G124)</f>
        <v>Medium</v>
      </c>
      <c r="E124" s="329" t="str">
        <f t="shared" ca="1" si="36"/>
        <v>Medium</v>
      </c>
      <c r="F124" s="644" t="str">
        <f t="shared" ca="1" si="37"/>
        <v>HP_</v>
      </c>
      <c r="G124" s="644" t="str">
        <f t="shared" ca="1" si="38"/>
        <v>$AE3</v>
      </c>
      <c r="H124" s="645" t="str">
        <f t="shared" ca="1" si="39"/>
        <v>HP_1!$AE3</v>
      </c>
    </row>
    <row r="125" spans="1:8" ht="15.75">
      <c r="A125" s="316" t="str">
        <f>HP_1!$AE$1&amp;": temp3"</f>
        <v>For HP tab: temp3</v>
      </c>
      <c r="B125" s="642" t="str">
        <f>HP_1!$AE4</f>
        <v>High</v>
      </c>
      <c r="C125" s="643" t="str" cm="1">
        <f t="array" aca="1" ref="C125" ca="1">INDIRECT($F125&amp;C$90&amp;"!"&amp;$G125)</f>
        <v>High</v>
      </c>
      <c r="D125" s="643" t="str" cm="1">
        <f t="array" aca="1" ref="D125" ca="1">INDIRECT($F125&amp;D$90&amp;"!"&amp;$G125)</f>
        <v>High</v>
      </c>
      <c r="E125" s="329" t="str">
        <f t="shared" ca="1" si="36"/>
        <v>High</v>
      </c>
      <c r="F125" s="644" t="str">
        <f t="shared" ca="1" si="37"/>
        <v>HP_</v>
      </c>
      <c r="G125" s="644" t="str">
        <f t="shared" ca="1" si="38"/>
        <v>$AE4</v>
      </c>
      <c r="H125" s="645" t="str">
        <f t="shared" ca="1" si="39"/>
        <v>HP_1!$AE4</v>
      </c>
    </row>
    <row r="126" spans="1:8" ht="15.75">
      <c r="A126" s="316" t="str">
        <f>HP_1!$AE$1&amp;": temp4"</f>
        <v>For HP tab: temp4</v>
      </c>
      <c r="B126" s="642" t="str">
        <f>HP_1!$AE5</f>
        <v>Very high</v>
      </c>
      <c r="C126" s="643" t="str" cm="1">
        <f t="array" aca="1" ref="C126" ca="1">INDIRECT($F126&amp;C$90&amp;"!"&amp;$G126)</f>
        <v>Very high</v>
      </c>
      <c r="D126" s="643" t="str" cm="1">
        <f t="array" aca="1" ref="D126" ca="1">INDIRECT($F126&amp;D$90&amp;"!"&amp;$G126)</f>
        <v>Very high</v>
      </c>
      <c r="E126" s="329" t="str">
        <f t="shared" ca="1" si="36"/>
        <v>Very high</v>
      </c>
      <c r="F126" s="644" t="str">
        <f t="shared" ca="1" si="37"/>
        <v>HP_</v>
      </c>
      <c r="G126" s="644" t="str">
        <f t="shared" ca="1" si="38"/>
        <v>$AE5</v>
      </c>
      <c r="H126" s="645" t="str">
        <f t="shared" ca="1" si="39"/>
        <v>HP_1!$AE5</v>
      </c>
    </row>
    <row r="127" spans="1:8" ht="15.75">
      <c r="A127" s="316" t="str">
        <f>HP_1!B38</f>
        <v>High Temperature</v>
      </c>
      <c r="B127" s="649" t="str">
        <f>HP_1!C38</f>
        <v>Yes</v>
      </c>
      <c r="C127" s="643" t="str" cm="1">
        <f t="array" aca="1" ref="C127" ca="1">INDIRECT($F127&amp;C$90&amp;"!"&amp;$G127)</f>
        <v>Yes</v>
      </c>
      <c r="D127" s="643" t="str" cm="1">
        <f t="array" aca="1" ref="D127" ca="1">INDIRECT($F127&amp;D$90&amp;"!"&amp;$G127)</f>
        <v>Yes</v>
      </c>
      <c r="E127" s="332" t="str">
        <f t="shared" ca="1" si="36"/>
        <v>Yes</v>
      </c>
      <c r="F127" s="644" t="str">
        <f t="shared" ca="1" si="37"/>
        <v>HP_</v>
      </c>
      <c r="G127" s="644" t="str">
        <f t="shared" ca="1" si="38"/>
        <v>C38</v>
      </c>
      <c r="H127" s="645" t="str">
        <f t="shared" ca="1" si="39"/>
        <v>HP_1!C38</v>
      </c>
    </row>
    <row r="128" spans="1:8" ht="15.75">
      <c r="A128" s="316" t="str">
        <f>HP_1!B39</f>
        <v>Low Temperature</v>
      </c>
      <c r="B128" s="649" t="str">
        <f>HP_1!C39</f>
        <v>No</v>
      </c>
      <c r="C128" s="643" t="str" cm="1">
        <f t="array" aca="1" ref="C128" ca="1">INDIRECT($F128&amp;C$90&amp;"!"&amp;$G128)</f>
        <v>No</v>
      </c>
      <c r="D128" s="643" t="str" cm="1">
        <f t="array" aca="1" ref="D128" ca="1">INDIRECT($F128&amp;D$90&amp;"!"&amp;$G128)</f>
        <v>No</v>
      </c>
      <c r="E128" s="327" t="str">
        <f t="shared" ca="1" si="36"/>
        <v>No</v>
      </c>
      <c r="F128" s="644" t="str">
        <f t="shared" ca="1" si="37"/>
        <v>HP_</v>
      </c>
      <c r="G128" s="644" t="str">
        <f t="shared" ca="1" si="38"/>
        <v>C39</v>
      </c>
      <c r="H128" s="645" t="str">
        <f t="shared" ca="1" si="39"/>
        <v>HP_1!C39</v>
      </c>
    </row>
    <row r="129" spans="1:8" ht="15.75">
      <c r="A129" s="316" t="str">
        <f>HP_1!B40</f>
        <v>Medium Temperature</v>
      </c>
      <c r="B129" s="649" t="str">
        <f>HP_1!C40</f>
        <v>No</v>
      </c>
      <c r="C129" s="643" t="str" cm="1">
        <f t="array" aca="1" ref="C129" ca="1">INDIRECT($F129&amp;C$90&amp;"!"&amp;$G129)</f>
        <v>No</v>
      </c>
      <c r="D129" s="643" t="str" cm="1">
        <f t="array" aca="1" ref="D129" ca="1">INDIRECT($F129&amp;D$90&amp;"!"&amp;$G129)</f>
        <v>No</v>
      </c>
      <c r="E129" s="327" t="str">
        <f t="shared" ca="1" si="36"/>
        <v>No</v>
      </c>
      <c r="F129" s="644" t="str">
        <f t="shared" ca="1" si="37"/>
        <v>HP_</v>
      </c>
      <c r="G129" s="644" t="str">
        <f t="shared" ca="1" si="38"/>
        <v>C40</v>
      </c>
      <c r="H129" s="645" t="str">
        <f t="shared" ca="1" si="39"/>
        <v>HP_1!C40</v>
      </c>
    </row>
    <row r="130" spans="1:8" ht="15.75">
      <c r="A130" s="316" t="str">
        <f>HP_1!B41</f>
        <v>Very high Temperature</v>
      </c>
      <c r="B130" s="649" t="str">
        <f>HP_1!C41</f>
        <v>No</v>
      </c>
      <c r="C130" s="643" t="str" cm="1">
        <f t="array" aca="1" ref="C130" ca="1">INDIRECT($F130&amp;C$90&amp;"!"&amp;$G130)</f>
        <v>No</v>
      </c>
      <c r="D130" s="643" t="str" cm="1">
        <f t="array" aca="1" ref="D130" ca="1">INDIRECT($F130&amp;D$90&amp;"!"&amp;$G130)</f>
        <v>No</v>
      </c>
      <c r="E130" s="327" t="str">
        <f t="shared" ca="1" si="36"/>
        <v>No</v>
      </c>
      <c r="F130" s="644" t="str">
        <f t="shared" ca="1" si="37"/>
        <v>HP_</v>
      </c>
      <c r="G130" s="644" t="str">
        <f t="shared" ca="1" si="38"/>
        <v>C41</v>
      </c>
      <c r="H130" s="645" t="str">
        <f t="shared" ca="1" si="39"/>
        <v>HP_1!C41</v>
      </c>
    </row>
    <row r="131" spans="1:8" ht="31.5">
      <c r="A131" s="316" t="str">
        <f>HP_1!B42</f>
        <v>Maximum test temperature allowed for in tests to I.S. EN 14825</v>
      </c>
      <c r="B131" s="650">
        <f>HP_1!C42</f>
        <v>55</v>
      </c>
      <c r="C131" s="643" cm="1">
        <f t="array" aca="1" ref="C131" ca="1">INDIRECT($F131&amp;C$90&amp;"!"&amp;$G131)</f>
        <v>55</v>
      </c>
      <c r="D131" s="643" cm="1">
        <f t="array" aca="1" ref="D131" ca="1">INDIRECT($F131&amp;D$90&amp;"!"&amp;$G131)</f>
        <v>55</v>
      </c>
      <c r="E131" s="327">
        <f t="shared" ca="1" si="36"/>
        <v>55</v>
      </c>
      <c r="F131" s="644" t="str">
        <f t="shared" ca="1" si="37"/>
        <v>HP_</v>
      </c>
      <c r="G131" s="644" t="str">
        <f t="shared" ca="1" si="38"/>
        <v>C42</v>
      </c>
      <c r="H131" s="645" t="str">
        <f t="shared" ca="1" si="39"/>
        <v>HP_1!C42</v>
      </c>
    </row>
    <row r="132" spans="1:8" ht="45">
      <c r="A132" s="316" t="str">
        <f>HP_1!D10</f>
        <v xml:space="preserve">Is this a Low Temperature Heat Pump? </v>
      </c>
      <c r="B132" s="642" t="str">
        <f>HP_1!G10</f>
        <v>Not low temperature heat pump</v>
      </c>
      <c r="C132" s="643" t="str" cm="1">
        <f t="array" aca="1" ref="C132" ca="1">INDIRECT($F132&amp;C$90&amp;"!"&amp;$G132)</f>
        <v>Not low temperature heat pump</v>
      </c>
      <c r="D132" s="643" t="str" cm="1">
        <f t="array" aca="1" ref="D132" ca="1">INDIRECT($F132&amp;D$90&amp;"!"&amp;$G132)</f>
        <v>Not low temperature heat pump</v>
      </c>
      <c r="E132" s="329" t="str">
        <f t="shared" ca="1" si="36"/>
        <v>Not low temperature heat pump</v>
      </c>
      <c r="F132" s="644" t="str">
        <f t="shared" ca="1" si="37"/>
        <v>HP_</v>
      </c>
      <c r="G132" s="644" t="str">
        <f t="shared" ca="1" si="38"/>
        <v>G10</v>
      </c>
      <c r="H132" s="645" t="str">
        <f t="shared" ca="1" si="39"/>
        <v>HP_1!G10</v>
      </c>
    </row>
    <row r="133" spans="1:8" ht="15.75">
      <c r="A133" s="316" t="str">
        <f>HP_1!D11</f>
        <v xml:space="preserve">Is this heat pump electric or gas (GAHP)? </v>
      </c>
      <c r="B133" s="642" t="str">
        <f>HP_1!G11</f>
        <v>Electricity</v>
      </c>
      <c r="C133" s="643" t="str" cm="1">
        <f t="array" aca="1" ref="C133" ca="1">INDIRECT($F133&amp;C$90&amp;"!"&amp;$G133)</f>
        <v>Electricity</v>
      </c>
      <c r="D133" s="643" t="str" cm="1">
        <f t="array" aca="1" ref="D133" ca="1">INDIRECT($F133&amp;D$90&amp;"!"&amp;$G133)</f>
        <v>Electricity</v>
      </c>
      <c r="E133" s="329" t="str">
        <f t="shared" ca="1" si="36"/>
        <v>Electricity</v>
      </c>
      <c r="F133" s="644" t="str">
        <f t="shared" ca="1" si="37"/>
        <v>HP_</v>
      </c>
      <c r="G133" s="644" t="str">
        <f t="shared" ca="1" si="38"/>
        <v>G11</v>
      </c>
      <c r="H133" s="645" t="str">
        <f t="shared" ca="1" si="39"/>
        <v>HP_1!G11</v>
      </c>
    </row>
    <row r="134" spans="1:8" ht="60">
      <c r="A134" s="316" t="str">
        <f>HP_1!D12</f>
        <v>What is the status of this heat pump regarding Ecodesign data?</v>
      </c>
      <c r="B134" s="651" t="str">
        <f>HP_1!G12</f>
        <v>Ecodesign applies and/or ecodesign data available</v>
      </c>
      <c r="C134" s="643" t="str" cm="1">
        <f t="array" aca="1" ref="C134" ca="1">INDIRECT($F134&amp;C$90&amp;"!"&amp;$G134)</f>
        <v>Ecodesign applies and/or ecodesign data available</v>
      </c>
      <c r="D134" s="643" t="str" cm="1">
        <f t="array" aca="1" ref="D134" ca="1">INDIRECT($F134&amp;D$90&amp;"!"&amp;$G134)</f>
        <v>Ecodesign applies and/or ecodesign data available</v>
      </c>
      <c r="E134" s="329" t="str">
        <f t="shared" ca="1" si="36"/>
        <v>Ecodesign applies and/or ecodesign data available</v>
      </c>
      <c r="F134" s="644" t="str">
        <f t="shared" ca="1" si="37"/>
        <v>HP_</v>
      </c>
      <c r="G134" s="644" t="str">
        <f t="shared" ca="1" si="38"/>
        <v>G12</v>
      </c>
      <c r="H134" s="645" t="str">
        <f t="shared" ca="1" si="39"/>
        <v>HP_1!G12</v>
      </c>
    </row>
    <row r="135" spans="1:8" ht="15.75">
      <c r="A135" s="316" t="str">
        <f>HP_1!A69</f>
        <v>Output from Main Water Heater</v>
      </c>
      <c r="B135" s="646">
        <f>HP_1!B69</f>
        <v>0</v>
      </c>
      <c r="C135" s="643" cm="1">
        <f t="array" aca="1" ref="C135" ca="1">INDIRECT($F135&amp;C$90&amp;"!"&amp;$G135)</f>
        <v>0</v>
      </c>
      <c r="D135" s="643" cm="1">
        <f t="array" aca="1" ref="D135" ca="1">INDIRECT($F135&amp;D$90&amp;"!"&amp;$G135)</f>
        <v>0</v>
      </c>
      <c r="E135" s="328">
        <f t="shared" ca="1" si="36"/>
        <v>0</v>
      </c>
      <c r="F135" s="644" t="str">
        <f t="shared" ca="1" si="37"/>
        <v>HP_</v>
      </c>
      <c r="G135" s="644" t="str">
        <f t="shared" ca="1" si="38"/>
        <v>B69</v>
      </c>
      <c r="H135" s="645" t="str">
        <f t="shared" ca="1" si="39"/>
        <v>HP_1!B69</v>
      </c>
    </row>
    <row r="136" spans="1:8" ht="15.75">
      <c r="A136" s="323" t="str">
        <f>HP_1!G111</f>
        <v>Exhaust Air Flow Rate (m3/hr)</v>
      </c>
      <c r="B136" s="646">
        <f>HP_1!G112</f>
        <v>0</v>
      </c>
      <c r="C136" s="643" cm="1">
        <f t="array" aca="1" ref="C136" ca="1">INDIRECT($F136&amp;C$90&amp;"!"&amp;$G136)</f>
        <v>0</v>
      </c>
      <c r="D136" s="643" cm="1">
        <f t="array" aca="1" ref="D136" ca="1">INDIRECT($F136&amp;D$90&amp;"!"&amp;$G136)</f>
        <v>0</v>
      </c>
      <c r="E136" s="327">
        <f t="shared" ca="1" si="36"/>
        <v>0</v>
      </c>
      <c r="F136" s="644" t="str">
        <f t="shared" ca="1" si="37"/>
        <v>HP_</v>
      </c>
      <c r="G136" s="644" t="str">
        <f t="shared" ca="1" si="38"/>
        <v>G112</v>
      </c>
      <c r="H136" s="645" t="str">
        <f t="shared" ca="1" si="39"/>
        <v>HP_1!G112</v>
      </c>
    </row>
    <row r="137" spans="1:8" ht="15.75">
      <c r="A137" s="316" t="str">
        <f>"Cdh placeholder"&amp;A128</f>
        <v>Cdh placeholderLow Temperature</v>
      </c>
      <c r="B137" s="642" t="s">
        <v>558</v>
      </c>
      <c r="C137" s="643" t="e" cm="1">
        <f t="array" aca="1" ref="C137" ca="1">INDIRECT($F137&amp;C$90&amp;"!"&amp;$G137)</f>
        <v>#N/A</v>
      </c>
      <c r="D137" s="643" t="e" cm="1">
        <f t="array" aca="1" ref="D137" ca="1">INDIRECT($F137&amp;D$90&amp;"!"&amp;$G137)</f>
        <v>#N/A</v>
      </c>
      <c r="E137" s="327" t="e">
        <f t="shared" ca="1" si="36"/>
        <v>#N/A</v>
      </c>
      <c r="F137" s="644" t="e">
        <f t="shared" ca="1" si="37"/>
        <v>#N/A</v>
      </c>
      <c r="G137" s="644" t="e">
        <f t="shared" ca="1" si="38"/>
        <v>#N/A</v>
      </c>
      <c r="H137" s="645" t="e">
        <f t="shared" ca="1" si="39"/>
        <v>#N/A</v>
      </c>
    </row>
    <row r="138" spans="1:8" ht="15.75">
      <c r="A138" s="316" t="str">
        <f>"Cdh placeholder"&amp;A129</f>
        <v>Cdh placeholderMedium Temperature</v>
      </c>
      <c r="B138" s="642" t="s">
        <v>558</v>
      </c>
      <c r="C138" s="643" t="e" cm="1">
        <f t="array" aca="1" ref="C138" ca="1">INDIRECT($F138&amp;C$90&amp;"!"&amp;$G138)</f>
        <v>#N/A</v>
      </c>
      <c r="D138" s="643" t="e" cm="1">
        <f t="array" aca="1" ref="D138" ca="1">INDIRECT($F138&amp;D$90&amp;"!"&amp;$G138)</f>
        <v>#N/A</v>
      </c>
      <c r="E138" s="327" t="e">
        <f t="shared" ca="1" si="36"/>
        <v>#N/A</v>
      </c>
      <c r="F138" s="644" t="e">
        <f t="shared" ca="1" si="37"/>
        <v>#N/A</v>
      </c>
      <c r="G138" s="644" t="e">
        <f t="shared" ca="1" si="38"/>
        <v>#N/A</v>
      </c>
      <c r="H138" s="645" t="e">
        <f t="shared" ca="1" si="39"/>
        <v>#N/A</v>
      </c>
    </row>
    <row r="139" spans="1:8" ht="15.75">
      <c r="A139" s="316" t="str">
        <f>"Cdh placeholder"&amp;A127</f>
        <v>Cdh placeholderHigh Temperature</v>
      </c>
      <c r="B139" s="642" t="s">
        <v>558</v>
      </c>
      <c r="C139" s="643" t="e" cm="1">
        <f t="array" aca="1" ref="C139" ca="1">INDIRECT($F139&amp;C$90&amp;"!"&amp;$G139)</f>
        <v>#N/A</v>
      </c>
      <c r="D139" s="643" t="e" cm="1">
        <f t="array" aca="1" ref="D139" ca="1">INDIRECT($F139&amp;D$90&amp;"!"&amp;$G139)</f>
        <v>#N/A</v>
      </c>
      <c r="E139" s="327" t="e">
        <f t="shared" ca="1" si="36"/>
        <v>#N/A</v>
      </c>
      <c r="F139" s="644" t="e">
        <f t="shared" ca="1" si="37"/>
        <v>#N/A</v>
      </c>
      <c r="G139" s="644" t="e">
        <f t="shared" ca="1" si="38"/>
        <v>#N/A</v>
      </c>
      <c r="H139" s="645" t="e">
        <f t="shared" ca="1" si="39"/>
        <v>#N/A</v>
      </c>
    </row>
    <row r="140" spans="1:8" ht="15.75">
      <c r="A140" s="316" t="str">
        <f>"Cdh placeholder"&amp;A130</f>
        <v>Cdh placeholderVery high Temperature</v>
      </c>
      <c r="B140" s="642" t="s">
        <v>558</v>
      </c>
      <c r="C140" s="643" t="e" cm="1">
        <f t="array" aca="1" ref="C140" ca="1">INDIRECT($F140&amp;C$90&amp;"!"&amp;$G140)</f>
        <v>#N/A</v>
      </c>
      <c r="D140" s="643" t="e" cm="1">
        <f t="array" aca="1" ref="D140" ca="1">INDIRECT($F140&amp;D$90&amp;"!"&amp;$G140)</f>
        <v>#N/A</v>
      </c>
      <c r="E140" s="327" t="e">
        <f t="shared" ca="1" si="36"/>
        <v>#N/A</v>
      </c>
      <c r="F140" s="644" t="e">
        <f t="shared" ca="1" si="37"/>
        <v>#N/A</v>
      </c>
      <c r="G140" s="644" t="e">
        <f t="shared" ca="1" si="38"/>
        <v>#N/A</v>
      </c>
      <c r="H140" s="645" t="e">
        <f t="shared" ca="1" si="39"/>
        <v>#N/A</v>
      </c>
    </row>
    <row r="141" spans="1:8" ht="15.75">
      <c r="A141" s="316" t="s">
        <v>558</v>
      </c>
      <c r="B141" s="642" t="s">
        <v>558</v>
      </c>
      <c r="C141" s="643" t="e" cm="1">
        <f t="array" aca="1" ref="C141" ca="1">INDIRECT($F141&amp;C$90&amp;"!"&amp;$G141)</f>
        <v>#N/A</v>
      </c>
      <c r="D141" s="643" t="e" cm="1">
        <f t="array" aca="1" ref="D141" ca="1">INDIRECT($F141&amp;D$90&amp;"!"&amp;$G141)</f>
        <v>#N/A</v>
      </c>
      <c r="E141" s="327" t="e">
        <f t="shared" ca="1" si="36"/>
        <v>#N/A</v>
      </c>
      <c r="F141" s="644" t="e">
        <f t="shared" ca="1" si="37"/>
        <v>#N/A</v>
      </c>
      <c r="G141" s="644" t="e">
        <f t="shared" ca="1" si="38"/>
        <v>#N/A</v>
      </c>
      <c r="H141" s="645" t="e">
        <f t="shared" ca="1" si="39"/>
        <v>#N/A</v>
      </c>
    </row>
    <row r="142" spans="1:8" ht="15.75">
      <c r="A142" s="316" t="s">
        <v>558</v>
      </c>
      <c r="B142" s="642" t="s">
        <v>558</v>
      </c>
      <c r="C142" s="643" t="e" cm="1">
        <f t="array" aca="1" ref="C142" ca="1">INDIRECT($F142&amp;C$90&amp;"!"&amp;$G142)</f>
        <v>#N/A</v>
      </c>
      <c r="D142" s="643" t="e" cm="1">
        <f t="array" aca="1" ref="D142" ca="1">INDIRECT($F142&amp;D$90&amp;"!"&amp;$G142)</f>
        <v>#N/A</v>
      </c>
      <c r="E142" s="327" t="e">
        <f t="shared" ca="1" si="36"/>
        <v>#N/A</v>
      </c>
      <c r="F142" s="644" t="e">
        <f t="shared" ca="1" si="37"/>
        <v>#N/A</v>
      </c>
      <c r="G142" s="644" t="e">
        <f t="shared" ca="1" si="38"/>
        <v>#N/A</v>
      </c>
      <c r="H142" s="645" t="e">
        <f t="shared" ca="1" si="39"/>
        <v>#N/A</v>
      </c>
    </row>
    <row r="143" spans="1:8" ht="15.75">
      <c r="A143" s="316" t="s">
        <v>558</v>
      </c>
      <c r="B143" s="642" t="s">
        <v>558</v>
      </c>
      <c r="C143" s="643" t="e" cm="1">
        <f t="array" aca="1" ref="C143" ca="1">INDIRECT($F143&amp;C$90&amp;"!"&amp;$G143)</f>
        <v>#N/A</v>
      </c>
      <c r="D143" s="643" t="e" cm="1">
        <f t="array" aca="1" ref="D143" ca="1">INDIRECT($F143&amp;D$90&amp;"!"&amp;$G143)</f>
        <v>#N/A</v>
      </c>
      <c r="E143" s="327" t="e">
        <f t="shared" ca="1" si="36"/>
        <v>#N/A</v>
      </c>
      <c r="F143" s="644" t="e">
        <f t="shared" ca="1" si="37"/>
        <v>#N/A</v>
      </c>
      <c r="G143" s="644" t="e">
        <f t="shared" ca="1" si="38"/>
        <v>#N/A</v>
      </c>
      <c r="H143" s="645" t="e">
        <f t="shared" ca="1" si="39"/>
        <v>#N/A</v>
      </c>
    </row>
    <row r="144" spans="1:8" ht="15.75">
      <c r="A144" s="316" t="s">
        <v>558</v>
      </c>
      <c r="B144" s="642" t="s">
        <v>558</v>
      </c>
      <c r="C144" s="643" t="e" cm="1">
        <f t="array" aca="1" ref="C144" ca="1">INDIRECT($F144&amp;C$90&amp;"!"&amp;$G144)</f>
        <v>#N/A</v>
      </c>
      <c r="D144" s="643" t="e" cm="1">
        <f t="array" aca="1" ref="D144" ca="1">INDIRECT($F144&amp;D$90&amp;"!"&amp;$G144)</f>
        <v>#N/A</v>
      </c>
      <c r="E144" s="327" t="e">
        <f t="shared" ca="1" si="36"/>
        <v>#N/A</v>
      </c>
      <c r="F144" s="644" t="e">
        <f t="shared" ca="1" si="37"/>
        <v>#N/A</v>
      </c>
      <c r="G144" s="644" t="e">
        <f t="shared" ca="1" si="38"/>
        <v>#N/A</v>
      </c>
      <c r="H144" s="645" t="e">
        <f t="shared" ca="1" si="39"/>
        <v>#N/A</v>
      </c>
    </row>
    <row r="145" spans="1:37" ht="15.75">
      <c r="A145" s="316" t="s">
        <v>558</v>
      </c>
      <c r="B145" s="642" t="s">
        <v>558</v>
      </c>
      <c r="C145" s="643" t="e" cm="1">
        <f t="array" aca="1" ref="C145" ca="1">INDIRECT($F145&amp;C$90&amp;"!"&amp;$G145)</f>
        <v>#N/A</v>
      </c>
      <c r="D145" s="643" t="e" cm="1">
        <f t="array" aca="1" ref="D145" ca="1">INDIRECT($F145&amp;D$90&amp;"!"&amp;$G145)</f>
        <v>#N/A</v>
      </c>
      <c r="E145" s="327" t="e">
        <f t="shared" ca="1" si="36"/>
        <v>#N/A</v>
      </c>
      <c r="F145" s="644" t="e">
        <f t="shared" ca="1" si="37"/>
        <v>#N/A</v>
      </c>
      <c r="G145" s="644" t="e">
        <f t="shared" ca="1" si="38"/>
        <v>#N/A</v>
      </c>
      <c r="H145" s="645" t="e">
        <f t="shared" ca="1" si="39"/>
        <v>#N/A</v>
      </c>
    </row>
    <row r="146" spans="1:37" ht="15.75">
      <c r="A146" s="316" t="s">
        <v>558</v>
      </c>
      <c r="B146" s="642" t="s">
        <v>558</v>
      </c>
      <c r="C146" s="643" t="e" cm="1">
        <f t="array" aca="1" ref="C146" ca="1">INDIRECT($F146&amp;C$90&amp;"!"&amp;$G146)</f>
        <v>#N/A</v>
      </c>
      <c r="D146" s="643" t="e" cm="1">
        <f t="array" aca="1" ref="D146" ca="1">INDIRECT($F146&amp;D$90&amp;"!"&amp;$G146)</f>
        <v>#N/A</v>
      </c>
      <c r="E146" s="327" t="e">
        <f t="shared" ca="1" si="36"/>
        <v>#N/A</v>
      </c>
      <c r="F146" s="644" t="e">
        <f t="shared" ca="1" si="37"/>
        <v>#N/A</v>
      </c>
      <c r="G146" s="644" t="e">
        <f t="shared" ca="1" si="38"/>
        <v>#N/A</v>
      </c>
      <c r="H146" s="645" t="e">
        <f t="shared" ca="1" si="39"/>
        <v>#N/A</v>
      </c>
    </row>
    <row r="147" spans="1:37" ht="15.75">
      <c r="A147" s="316" t="s">
        <v>558</v>
      </c>
      <c r="B147" s="642" t="s">
        <v>558</v>
      </c>
      <c r="C147" s="643" t="e" cm="1">
        <f t="array" aca="1" ref="C147" ca="1">INDIRECT($F147&amp;C$90&amp;"!"&amp;$G147)</f>
        <v>#N/A</v>
      </c>
      <c r="D147" s="643" t="e" cm="1">
        <f t="array" aca="1" ref="D147" ca="1">INDIRECT($F147&amp;D$90&amp;"!"&amp;$G147)</f>
        <v>#N/A</v>
      </c>
      <c r="E147" s="327" t="e">
        <f t="shared" ca="1" si="36"/>
        <v>#N/A</v>
      </c>
      <c r="F147" s="644" t="e">
        <f t="shared" ca="1" si="37"/>
        <v>#N/A</v>
      </c>
      <c r="G147" s="644" t="e">
        <f t="shared" ca="1" si="38"/>
        <v>#N/A</v>
      </c>
      <c r="H147" s="645" t="e">
        <f t="shared" ca="1" si="39"/>
        <v>#N/A</v>
      </c>
    </row>
    <row r="148" spans="1:37" ht="15.75">
      <c r="A148" s="316" t="s">
        <v>558</v>
      </c>
      <c r="B148" s="642" t="s">
        <v>558</v>
      </c>
      <c r="C148" s="643" t="e" cm="1">
        <f t="array" aca="1" ref="C148" ca="1">INDIRECT($F148&amp;C$90&amp;"!"&amp;$G148)</f>
        <v>#N/A</v>
      </c>
      <c r="D148" s="643" t="e" cm="1">
        <f t="array" aca="1" ref="D148" ca="1">INDIRECT($F148&amp;D$90&amp;"!"&amp;$G148)</f>
        <v>#N/A</v>
      </c>
      <c r="E148" s="327" t="e">
        <f t="shared" ca="1" si="36"/>
        <v>#N/A</v>
      </c>
      <c r="F148" s="644" t="e">
        <f t="shared" ca="1" si="37"/>
        <v>#N/A</v>
      </c>
      <c r="G148" s="644" t="e">
        <f t="shared" ca="1" si="38"/>
        <v>#N/A</v>
      </c>
      <c r="H148" s="645" t="e">
        <f t="shared" ca="1" si="39"/>
        <v>#N/A</v>
      </c>
    </row>
    <row r="149" spans="1:37" ht="15.75">
      <c r="A149" s="316" t="s">
        <v>558</v>
      </c>
      <c r="B149" s="642" t="s">
        <v>558</v>
      </c>
      <c r="C149" s="643" t="e" cm="1">
        <f t="array" aca="1" ref="C149" ca="1">INDIRECT($F149&amp;C$90&amp;"!"&amp;$G149)</f>
        <v>#N/A</v>
      </c>
      <c r="D149" s="643" t="e" cm="1">
        <f t="array" aca="1" ref="D149" ca="1">INDIRECT($F149&amp;D$90&amp;"!"&amp;$G149)</f>
        <v>#N/A</v>
      </c>
      <c r="E149" s="327" t="e">
        <f t="shared" ca="1" si="36"/>
        <v>#N/A</v>
      </c>
      <c r="F149" s="644" t="e">
        <f t="shared" ca="1" si="37"/>
        <v>#N/A</v>
      </c>
      <c r="G149" s="644" t="e">
        <f t="shared" ca="1" si="38"/>
        <v>#N/A</v>
      </c>
      <c r="H149" s="645" t="e">
        <f t="shared" ca="1" si="39"/>
        <v>#N/A</v>
      </c>
    </row>
    <row r="150" spans="1:37" ht="16.5" thickBot="1">
      <c r="A150" s="324" t="s">
        <v>558</v>
      </c>
      <c r="B150" s="652" t="s">
        <v>558</v>
      </c>
      <c r="C150" s="653" t="e" cm="1">
        <f t="array" aca="1" ref="C150" ca="1">INDIRECT($F150&amp;C$90&amp;"!"&amp;$G150)</f>
        <v>#N/A</v>
      </c>
      <c r="D150" s="653" t="e" cm="1">
        <f t="array" aca="1" ref="D150" ca="1">INDIRECT($F150&amp;D$90&amp;"!"&amp;$G150)</f>
        <v>#N/A</v>
      </c>
      <c r="E150" s="333" t="e">
        <f t="shared" ca="1" si="36"/>
        <v>#N/A</v>
      </c>
      <c r="F150" s="654" t="e">
        <f t="shared" ca="1" si="37"/>
        <v>#N/A</v>
      </c>
      <c r="G150" s="654" t="e">
        <f t="shared" ca="1" si="38"/>
        <v>#N/A</v>
      </c>
      <c r="H150" s="655" t="e">
        <f t="shared" ca="1" si="39"/>
        <v>#N/A</v>
      </c>
    </row>
    <row r="151" spans="1:37" ht="15.75">
      <c r="A151" s="656"/>
      <c r="B151" s="657" t="s">
        <v>564</v>
      </c>
      <c r="C151" s="658" t="s">
        <v>552</v>
      </c>
      <c r="D151" s="659" t="s">
        <v>552</v>
      </c>
      <c r="E151" s="659" t="s">
        <v>552</v>
      </c>
      <c r="F151" s="659" t="s">
        <v>552</v>
      </c>
      <c r="G151" s="660" t="s">
        <v>552</v>
      </c>
      <c r="H151" s="658">
        <v>1</v>
      </c>
      <c r="I151" s="659">
        <v>1</v>
      </c>
      <c r="J151" s="659">
        <v>1</v>
      </c>
      <c r="K151" s="659">
        <v>1</v>
      </c>
      <c r="L151" s="660">
        <v>1</v>
      </c>
      <c r="M151" s="658">
        <f>H151+1</f>
        <v>2</v>
      </c>
      <c r="N151" s="659">
        <f t="shared" ref="N151:Q151" si="40">I151+1</f>
        <v>2</v>
      </c>
      <c r="O151" s="659">
        <f t="shared" si="40"/>
        <v>2</v>
      </c>
      <c r="P151" s="659">
        <f t="shared" si="40"/>
        <v>2</v>
      </c>
      <c r="Q151" s="660">
        <f t="shared" si="40"/>
        <v>2</v>
      </c>
      <c r="R151" s="658">
        <f>M151+1</f>
        <v>3</v>
      </c>
      <c r="S151" s="659">
        <f t="shared" ref="S151:V151" si="41">N151+1</f>
        <v>3</v>
      </c>
      <c r="T151" s="659">
        <f t="shared" si="41"/>
        <v>3</v>
      </c>
      <c r="U151" s="659">
        <f t="shared" si="41"/>
        <v>3</v>
      </c>
      <c r="V151" s="661">
        <f t="shared" si="41"/>
        <v>3</v>
      </c>
      <c r="W151" s="777" t="str">
        <f>H90</f>
        <v>Heat pump 1 source cell name as text</v>
      </c>
      <c r="X151" s="778"/>
      <c r="Y151" s="778"/>
      <c r="Z151" s="778"/>
      <c r="AA151" s="779"/>
      <c r="AB151" s="780" t="str">
        <f>F90</f>
        <v>Tab</v>
      </c>
      <c r="AC151" s="781"/>
      <c r="AD151" s="781"/>
      <c r="AE151" s="781"/>
      <c r="AF151" s="782"/>
      <c r="AG151" s="780" t="str">
        <f>G90</f>
        <v>Cell (everything to the right of the tab name)</v>
      </c>
      <c r="AH151" s="781"/>
      <c r="AI151" s="781"/>
      <c r="AJ151" s="781"/>
      <c r="AK151" s="783"/>
    </row>
    <row r="152" spans="1:37" ht="15.75">
      <c r="A152" s="662"/>
      <c r="B152" s="663" t="s">
        <v>565</v>
      </c>
      <c r="C152" s="664" t="s">
        <v>559</v>
      </c>
      <c r="D152" s="665" t="s">
        <v>560</v>
      </c>
      <c r="E152" s="665" t="s">
        <v>561</v>
      </c>
      <c r="F152" s="665" t="s">
        <v>562</v>
      </c>
      <c r="G152" s="666" t="s">
        <v>563</v>
      </c>
      <c r="H152" s="664" t="s">
        <v>559</v>
      </c>
      <c r="I152" s="665" t="s">
        <v>560</v>
      </c>
      <c r="J152" s="665" t="s">
        <v>561</v>
      </c>
      <c r="K152" s="665" t="s">
        <v>562</v>
      </c>
      <c r="L152" s="666" t="s">
        <v>563</v>
      </c>
      <c r="M152" s="664" t="s">
        <v>559</v>
      </c>
      <c r="N152" s="665" t="s">
        <v>560</v>
      </c>
      <c r="O152" s="665" t="s">
        <v>561</v>
      </c>
      <c r="P152" s="665" t="s">
        <v>562</v>
      </c>
      <c r="Q152" s="666" t="s">
        <v>563</v>
      </c>
      <c r="R152" s="664" t="s">
        <v>559</v>
      </c>
      <c r="S152" s="665" t="s">
        <v>560</v>
      </c>
      <c r="T152" s="665" t="s">
        <v>561</v>
      </c>
      <c r="U152" s="665" t="s">
        <v>562</v>
      </c>
      <c r="V152" s="667" t="s">
        <v>563</v>
      </c>
      <c r="W152" s="664" t="s">
        <v>559</v>
      </c>
      <c r="X152" s="665" t="s">
        <v>560</v>
      </c>
      <c r="Y152" s="665" t="s">
        <v>561</v>
      </c>
      <c r="Z152" s="665" t="s">
        <v>562</v>
      </c>
      <c r="AA152" s="667" t="s">
        <v>563</v>
      </c>
      <c r="AB152" s="664" t="s">
        <v>559</v>
      </c>
      <c r="AC152" s="665" t="s">
        <v>560</v>
      </c>
      <c r="AD152" s="665" t="s">
        <v>561</v>
      </c>
      <c r="AE152" s="665" t="s">
        <v>562</v>
      </c>
      <c r="AF152" s="667" t="s">
        <v>563</v>
      </c>
      <c r="AG152" s="664" t="s">
        <v>559</v>
      </c>
      <c r="AH152" s="665" t="s">
        <v>560</v>
      </c>
      <c r="AI152" s="665" t="s">
        <v>561</v>
      </c>
      <c r="AJ152" s="665" t="s">
        <v>562</v>
      </c>
      <c r="AK152" s="666" t="s">
        <v>563</v>
      </c>
    </row>
    <row r="153" spans="1:37" ht="16.5" thickBot="1">
      <c r="A153" s="668" t="s">
        <v>567</v>
      </c>
      <c r="B153" s="663" t="str">
        <f>B151&amp;B152&amp;"-&gt;"</f>
        <v>HP identifier:Bin-&gt;</v>
      </c>
      <c r="C153" s="669" t="str">
        <f>$K$1&amp;C152</f>
        <v>3A</v>
      </c>
      <c r="D153" s="670" t="str">
        <f>$K$1&amp;D152</f>
        <v>3B</v>
      </c>
      <c r="E153" s="670" t="str">
        <f>$K$1&amp;E152</f>
        <v>3C</v>
      </c>
      <c r="F153" s="670" t="str">
        <f>$K$1&amp;F152</f>
        <v>3D</v>
      </c>
      <c r="G153" s="671" t="str">
        <f>$K$1&amp;G152</f>
        <v>3E</v>
      </c>
      <c r="H153" s="669" t="str">
        <f t="shared" ref="H153:V153" si="42">H151&amp;H152</f>
        <v>1A</v>
      </c>
      <c r="I153" s="670" t="str">
        <f t="shared" si="42"/>
        <v>1B</v>
      </c>
      <c r="J153" s="670" t="str">
        <f t="shared" si="42"/>
        <v>1C</v>
      </c>
      <c r="K153" s="670" t="str">
        <f t="shared" si="42"/>
        <v>1D</v>
      </c>
      <c r="L153" s="671" t="str">
        <f t="shared" si="42"/>
        <v>1E</v>
      </c>
      <c r="M153" s="669" t="str">
        <f t="shared" si="42"/>
        <v>2A</v>
      </c>
      <c r="N153" s="670" t="str">
        <f t="shared" si="42"/>
        <v>2B</v>
      </c>
      <c r="O153" s="670" t="str">
        <f t="shared" si="42"/>
        <v>2C</v>
      </c>
      <c r="P153" s="670" t="str">
        <f t="shared" si="42"/>
        <v>2D</v>
      </c>
      <c r="Q153" s="671" t="str">
        <f t="shared" si="42"/>
        <v>2E</v>
      </c>
      <c r="R153" s="669" t="str">
        <f t="shared" si="42"/>
        <v>3A</v>
      </c>
      <c r="S153" s="670" t="str">
        <f t="shared" si="42"/>
        <v>3B</v>
      </c>
      <c r="T153" s="670" t="str">
        <f t="shared" si="42"/>
        <v>3C</v>
      </c>
      <c r="U153" s="670" t="str">
        <f t="shared" si="42"/>
        <v>3D</v>
      </c>
      <c r="V153" s="672" t="str">
        <f t="shared" si="42"/>
        <v>3E</v>
      </c>
      <c r="W153" s="669"/>
      <c r="X153" s="670"/>
      <c r="Y153" s="670"/>
      <c r="Z153" s="670"/>
      <c r="AA153" s="672"/>
      <c r="AB153" s="669"/>
      <c r="AC153" s="670"/>
      <c r="AD153" s="670"/>
      <c r="AE153" s="670"/>
      <c r="AF153" s="672"/>
      <c r="AG153" s="669"/>
      <c r="AH153" s="670"/>
      <c r="AI153" s="670"/>
      <c r="AJ153" s="670"/>
      <c r="AK153" s="671"/>
    </row>
    <row r="154" spans="1:37">
      <c r="A154" s="673" t="str">
        <f t="shared" ref="A154:A161" ca="1" si="43">A19</f>
        <v>Low Temperature COP  (kW/kW)</v>
      </c>
      <c r="B154" s="674">
        <f ca="1">IF(E128="Yes",1,0)</f>
        <v>0</v>
      </c>
      <c r="C154" s="675">
        <f ca="1">$B154*INDEX($H154:$V154,1,MATCH(C$153,$H$153:$V$153,0))</f>
        <v>0</v>
      </c>
      <c r="D154" s="676">
        <f t="shared" ref="D154:G161" ca="1" si="44">$B154*INDEX($H154:$V154,1,MATCH(D$153,$H$153:$V$153,0))</f>
        <v>0</v>
      </c>
      <c r="E154" s="676">
        <f t="shared" ca="1" si="44"/>
        <v>0</v>
      </c>
      <c r="F154" s="676">
        <f t="shared" ca="1" si="44"/>
        <v>0</v>
      </c>
      <c r="G154" s="677">
        <f t="shared" ca="1" si="44"/>
        <v>0</v>
      </c>
      <c r="H154" s="678">
        <f>HP_1!C47</f>
        <v>0</v>
      </c>
      <c r="I154" s="679">
        <f>HP_1!D47</f>
        <v>0</v>
      </c>
      <c r="J154" s="679">
        <f>HP_1!E47</f>
        <v>0</v>
      </c>
      <c r="K154" s="679">
        <f>HP_1!F47</f>
        <v>0</v>
      </c>
      <c r="L154" s="680">
        <f>HP_1!G47</f>
        <v>0</v>
      </c>
      <c r="M154" s="675" cm="1">
        <f t="array" aca="1" ref="M154" ca="1">INDIRECT(AB154&amp;M$151&amp;"!"&amp;AG154)</f>
        <v>0</v>
      </c>
      <c r="N154" s="676" cm="1">
        <f t="array" aca="1" ref="N154" ca="1">INDIRECT(AC154&amp;N$151&amp;"!"&amp;AH154)</f>
        <v>0</v>
      </c>
      <c r="O154" s="676" cm="1">
        <f t="array" aca="1" ref="O154" ca="1">INDIRECT(AD154&amp;O$151&amp;"!"&amp;AI154)</f>
        <v>0</v>
      </c>
      <c r="P154" s="676" cm="1">
        <f t="array" aca="1" ref="P154" ca="1">INDIRECT(AE154&amp;P$151&amp;"!"&amp;AJ154)</f>
        <v>0</v>
      </c>
      <c r="Q154" s="677" cm="1">
        <f t="array" aca="1" ref="Q154" ca="1">INDIRECT(AF154&amp;Q$151&amp;"!"&amp;AK154)</f>
        <v>0</v>
      </c>
      <c r="R154" s="675" cm="1">
        <f t="array" aca="1" ref="R154" ca="1">INDIRECT(AB154&amp;R$151&amp;"!"&amp;AG154)</f>
        <v>0</v>
      </c>
      <c r="S154" s="676" cm="1">
        <f t="array" aca="1" ref="S154" ca="1">INDIRECT(AC154&amp;S$151&amp;"!"&amp;AH154)</f>
        <v>0</v>
      </c>
      <c r="T154" s="676" cm="1">
        <f t="array" aca="1" ref="T154" ca="1">INDIRECT(AD154&amp;T$151&amp;"!"&amp;AI154)</f>
        <v>0</v>
      </c>
      <c r="U154" s="676" cm="1">
        <f t="array" aca="1" ref="U154" ca="1">INDIRECT(AE154&amp;U$151&amp;"!"&amp;AJ154)</f>
        <v>0</v>
      </c>
      <c r="V154" s="681" cm="1">
        <f t="array" aca="1" ref="V154" ca="1">INDIRECT(AF154&amp;V$151&amp;"!"&amp;AK154)</f>
        <v>0</v>
      </c>
      <c r="W154" s="682" t="str">
        <f ca="1">SUBSTITUTE( _xlfn.FORMULATEXT(H154),"=","")</f>
        <v>HP_1!C47</v>
      </c>
      <c r="X154" s="683" t="str">
        <f ca="1">SUBSTITUTE( _xlfn.FORMULATEXT(I154),"=","")</f>
        <v>HP_1!D47</v>
      </c>
      <c r="Y154" s="683" t="str">
        <f ca="1">SUBSTITUTE( _xlfn.FORMULATEXT(J154),"=","")</f>
        <v>HP_1!E47</v>
      </c>
      <c r="Z154" s="683" t="str">
        <f ca="1">SUBSTITUTE( _xlfn.FORMULATEXT(K154),"=","")</f>
        <v>HP_1!F47</v>
      </c>
      <c r="AA154" s="684" t="str">
        <f ca="1">SUBSTITUTE( _xlfn.FORMULATEXT(L154),"=","")</f>
        <v>HP_1!G47</v>
      </c>
      <c r="AB154" s="682" t="str">
        <f ca="1">LEFT(W154,FIND("1",W154)-1)</f>
        <v>HP_</v>
      </c>
      <c r="AC154" s="683" t="str">
        <f ca="1">LEFT(X154,FIND("1",X154)-1)</f>
        <v>HP_</v>
      </c>
      <c r="AD154" s="683" t="str">
        <f ca="1">LEFT(Y154,FIND("1",Y154)-1)</f>
        <v>HP_</v>
      </c>
      <c r="AE154" s="683" t="str">
        <f ca="1">LEFT(Z154,FIND("1",Z154)-1)</f>
        <v>HP_</v>
      </c>
      <c r="AF154" s="684" t="str">
        <f ca="1">LEFT(AA154,FIND("1",AA154)-1)</f>
        <v>HP_</v>
      </c>
      <c r="AG154" s="682" t="str">
        <f ca="1">RIGHT(W154,LEN(W154)-FIND("!",W154))</f>
        <v>C47</v>
      </c>
      <c r="AH154" s="683" t="str">
        <f ca="1">RIGHT(X154,LEN(X154)-FIND("!",X154))</f>
        <v>D47</v>
      </c>
      <c r="AI154" s="683" t="str">
        <f ca="1">RIGHT(Y154,LEN(Y154)-FIND("!",Y154))</f>
        <v>E47</v>
      </c>
      <c r="AJ154" s="683" t="str">
        <f ca="1">RIGHT(Z154,LEN(Z154)-FIND("!",Z154))</f>
        <v>F47</v>
      </c>
      <c r="AK154" s="685" t="str">
        <f ca="1">RIGHT(AA154,LEN(AA154)-FIND("!",AA154))</f>
        <v>G47</v>
      </c>
    </row>
    <row r="155" spans="1:37">
      <c r="A155" s="673" t="str">
        <f t="shared" ca="1" si="43"/>
        <v>Medium Temperature COP  (kW/kW)</v>
      </c>
      <c r="B155" s="674">
        <f ca="1">IF(E129="Yes",1,0)</f>
        <v>0</v>
      </c>
      <c r="C155" s="686">
        <f t="shared" ref="C155:C161" ca="1" si="45">$B155*INDEX($H155:$V155,1,MATCH(C$153,$H$153:$V$153,0))</f>
        <v>0</v>
      </c>
      <c r="D155" s="687">
        <f t="shared" ca="1" si="44"/>
        <v>0</v>
      </c>
      <c r="E155" s="687">
        <f t="shared" ca="1" si="44"/>
        <v>0</v>
      </c>
      <c r="F155" s="687">
        <f t="shared" ca="1" si="44"/>
        <v>0</v>
      </c>
      <c r="G155" s="688">
        <f t="shared" ca="1" si="44"/>
        <v>0</v>
      </c>
      <c r="H155" s="689">
        <f>HP_1!C51</f>
        <v>0</v>
      </c>
      <c r="I155" s="690">
        <f>HP_1!D51</f>
        <v>0</v>
      </c>
      <c r="J155" s="690">
        <f>HP_1!E51</f>
        <v>0</v>
      </c>
      <c r="K155" s="690">
        <f>HP_1!F51</f>
        <v>0</v>
      </c>
      <c r="L155" s="691">
        <f>HP_1!G51</f>
        <v>0</v>
      </c>
      <c r="M155" s="686" cm="1">
        <f t="array" aca="1" ref="M155" ca="1">INDIRECT(AB155&amp;M$151&amp;"!"&amp;AG155)</f>
        <v>0</v>
      </c>
      <c r="N155" s="687" cm="1">
        <f t="array" aca="1" ref="N155" ca="1">INDIRECT(AC155&amp;N$151&amp;"!"&amp;AH155)</f>
        <v>0</v>
      </c>
      <c r="O155" s="687" cm="1">
        <f t="array" aca="1" ref="O155" ca="1">INDIRECT(AD155&amp;O$151&amp;"!"&amp;AI155)</f>
        <v>0</v>
      </c>
      <c r="P155" s="687" cm="1">
        <f t="array" aca="1" ref="P155" ca="1">INDIRECT(AE155&amp;P$151&amp;"!"&amp;AJ155)</f>
        <v>0</v>
      </c>
      <c r="Q155" s="688" cm="1">
        <f t="array" aca="1" ref="Q155" ca="1">INDIRECT(AF155&amp;Q$151&amp;"!"&amp;AK155)</f>
        <v>0</v>
      </c>
      <c r="R155" s="686" cm="1">
        <f t="array" aca="1" ref="R155" ca="1">INDIRECT(AB155&amp;R$151&amp;"!"&amp;AG155)</f>
        <v>0</v>
      </c>
      <c r="S155" s="687" cm="1">
        <f t="array" aca="1" ref="S155" ca="1">INDIRECT(AC155&amp;S$151&amp;"!"&amp;AH155)</f>
        <v>0</v>
      </c>
      <c r="T155" s="687" cm="1">
        <f t="array" aca="1" ref="T155" ca="1">INDIRECT(AD155&amp;T$151&amp;"!"&amp;AI155)</f>
        <v>0</v>
      </c>
      <c r="U155" s="687" cm="1">
        <f t="array" aca="1" ref="U155" ca="1">INDIRECT(AE155&amp;U$151&amp;"!"&amp;AJ155)</f>
        <v>0</v>
      </c>
      <c r="V155" s="692" cm="1">
        <f t="array" aca="1" ref="V155" ca="1">INDIRECT(AF155&amp;V$151&amp;"!"&amp;AK155)</f>
        <v>0</v>
      </c>
      <c r="W155" s="693" t="str">
        <f t="shared" ref="W155:AA161" ca="1" si="46">SUBSTITUTE( _xlfn.FORMULATEXT(H155),"=","")</f>
        <v>HP_1!C51</v>
      </c>
      <c r="X155" s="694" t="str">
        <f t="shared" ca="1" si="46"/>
        <v>HP_1!D51</v>
      </c>
      <c r="Y155" s="694" t="str">
        <f t="shared" ca="1" si="46"/>
        <v>HP_1!E51</v>
      </c>
      <c r="Z155" s="694" t="str">
        <f t="shared" ca="1" si="46"/>
        <v>HP_1!F51</v>
      </c>
      <c r="AA155" s="695" t="str">
        <f t="shared" ca="1" si="46"/>
        <v>HP_1!G51</v>
      </c>
      <c r="AB155" s="693" t="str">
        <f t="shared" ref="AB155:AF161" ca="1" si="47">LEFT(W155,FIND("1",W155)-1)</f>
        <v>HP_</v>
      </c>
      <c r="AC155" s="694" t="str">
        <f t="shared" ca="1" si="47"/>
        <v>HP_</v>
      </c>
      <c r="AD155" s="694" t="str">
        <f t="shared" ca="1" si="47"/>
        <v>HP_</v>
      </c>
      <c r="AE155" s="694" t="str">
        <f t="shared" ca="1" si="47"/>
        <v>HP_</v>
      </c>
      <c r="AF155" s="695" t="str">
        <f t="shared" ca="1" si="47"/>
        <v>HP_</v>
      </c>
      <c r="AG155" s="693" t="str">
        <f t="shared" ref="AG155:AK161" ca="1" si="48">RIGHT(W155,LEN(W155)-FIND("!",W155))</f>
        <v>C51</v>
      </c>
      <c r="AH155" s="694" t="str">
        <f t="shared" ca="1" si="48"/>
        <v>D51</v>
      </c>
      <c r="AI155" s="694" t="str">
        <f t="shared" ca="1" si="48"/>
        <v>E51</v>
      </c>
      <c r="AJ155" s="694" t="str">
        <f t="shared" ca="1" si="48"/>
        <v>F51</v>
      </c>
      <c r="AK155" s="696" t="str">
        <f t="shared" ca="1" si="48"/>
        <v>G51</v>
      </c>
    </row>
    <row r="156" spans="1:37">
      <c r="A156" s="673" t="str">
        <f t="shared" ca="1" si="43"/>
        <v>High Temperature COP  (kW/kW)</v>
      </c>
      <c r="B156" s="674">
        <f ca="1">IF(E127="Yes",1,0)</f>
        <v>1</v>
      </c>
      <c r="C156" s="686">
        <f t="shared" ca="1" si="45"/>
        <v>0</v>
      </c>
      <c r="D156" s="687">
        <f t="shared" ca="1" si="44"/>
        <v>0</v>
      </c>
      <c r="E156" s="687">
        <f t="shared" ca="1" si="44"/>
        <v>0</v>
      </c>
      <c r="F156" s="687">
        <f t="shared" ca="1" si="44"/>
        <v>0</v>
      </c>
      <c r="G156" s="688">
        <f t="shared" ca="1" si="44"/>
        <v>0</v>
      </c>
      <c r="H156" s="689">
        <f>HP_1!C55</f>
        <v>0</v>
      </c>
      <c r="I156" s="690">
        <f>HP_1!D55</f>
        <v>0</v>
      </c>
      <c r="J156" s="690">
        <f>HP_1!E55</f>
        <v>0</v>
      </c>
      <c r="K156" s="690">
        <f>HP_1!F55</f>
        <v>0</v>
      </c>
      <c r="L156" s="691">
        <f>HP_1!G55</f>
        <v>0</v>
      </c>
      <c r="M156" s="686" cm="1">
        <f t="array" aca="1" ref="M156" ca="1">INDIRECT(AB156&amp;M$151&amp;"!"&amp;AG156)</f>
        <v>0</v>
      </c>
      <c r="N156" s="687" cm="1">
        <f t="array" aca="1" ref="N156" ca="1">INDIRECT(AC156&amp;N$151&amp;"!"&amp;AH156)</f>
        <v>0</v>
      </c>
      <c r="O156" s="687" cm="1">
        <f t="array" aca="1" ref="O156" ca="1">INDIRECT(AD156&amp;O$151&amp;"!"&amp;AI156)</f>
        <v>0</v>
      </c>
      <c r="P156" s="687" cm="1">
        <f t="array" aca="1" ref="P156" ca="1">INDIRECT(AE156&amp;P$151&amp;"!"&amp;AJ156)</f>
        <v>0</v>
      </c>
      <c r="Q156" s="688" cm="1">
        <f t="array" aca="1" ref="Q156" ca="1">INDIRECT(AF156&amp;Q$151&amp;"!"&amp;AK156)</f>
        <v>0</v>
      </c>
      <c r="R156" s="686" cm="1">
        <f t="array" aca="1" ref="R156" ca="1">INDIRECT(AB156&amp;R$151&amp;"!"&amp;AG156)</f>
        <v>0</v>
      </c>
      <c r="S156" s="687" cm="1">
        <f t="array" aca="1" ref="S156" ca="1">INDIRECT(AC156&amp;S$151&amp;"!"&amp;AH156)</f>
        <v>0</v>
      </c>
      <c r="T156" s="687" cm="1">
        <f t="array" aca="1" ref="T156" ca="1">INDIRECT(AD156&amp;T$151&amp;"!"&amp;AI156)</f>
        <v>0</v>
      </c>
      <c r="U156" s="687" cm="1">
        <f t="array" aca="1" ref="U156" ca="1">INDIRECT(AE156&amp;U$151&amp;"!"&amp;AJ156)</f>
        <v>0</v>
      </c>
      <c r="V156" s="692" cm="1">
        <f t="array" aca="1" ref="V156" ca="1">INDIRECT(AF156&amp;V$151&amp;"!"&amp;AK156)</f>
        <v>0</v>
      </c>
      <c r="W156" s="693" t="str">
        <f t="shared" ca="1" si="46"/>
        <v>HP_1!C55</v>
      </c>
      <c r="X156" s="694" t="str">
        <f t="shared" ca="1" si="46"/>
        <v>HP_1!D55</v>
      </c>
      <c r="Y156" s="694" t="str">
        <f t="shared" ca="1" si="46"/>
        <v>HP_1!E55</v>
      </c>
      <c r="Z156" s="694" t="str">
        <f t="shared" ca="1" si="46"/>
        <v>HP_1!F55</v>
      </c>
      <c r="AA156" s="695" t="str">
        <f t="shared" ca="1" si="46"/>
        <v>HP_1!G55</v>
      </c>
      <c r="AB156" s="693" t="str">
        <f t="shared" ca="1" si="47"/>
        <v>HP_</v>
      </c>
      <c r="AC156" s="694" t="str">
        <f t="shared" ca="1" si="47"/>
        <v>HP_</v>
      </c>
      <c r="AD156" s="694" t="str">
        <f t="shared" ca="1" si="47"/>
        <v>HP_</v>
      </c>
      <c r="AE156" s="694" t="str">
        <f t="shared" ca="1" si="47"/>
        <v>HP_</v>
      </c>
      <c r="AF156" s="695" t="str">
        <f t="shared" ca="1" si="47"/>
        <v>HP_</v>
      </c>
      <c r="AG156" s="693" t="str">
        <f t="shared" ca="1" si="48"/>
        <v>C55</v>
      </c>
      <c r="AH156" s="694" t="str">
        <f t="shared" ca="1" si="48"/>
        <v>D55</v>
      </c>
      <c r="AI156" s="694" t="str">
        <f t="shared" ca="1" si="48"/>
        <v>E55</v>
      </c>
      <c r="AJ156" s="694" t="str">
        <f t="shared" ca="1" si="48"/>
        <v>F55</v>
      </c>
      <c r="AK156" s="696" t="str">
        <f t="shared" ca="1" si="48"/>
        <v>G55</v>
      </c>
    </row>
    <row r="157" spans="1:37" ht="13.5" thickBot="1">
      <c r="A157" s="673" t="str">
        <f t="shared" ca="1" si="43"/>
        <v>Very high Temperature COP  (kW/kW)</v>
      </c>
      <c r="B157" s="674">
        <f ca="1">IF(E130="Yes",1,0)</f>
        <v>0</v>
      </c>
      <c r="C157" s="697">
        <f t="shared" ca="1" si="45"/>
        <v>0</v>
      </c>
      <c r="D157" s="698">
        <f t="shared" ca="1" si="44"/>
        <v>0</v>
      </c>
      <c r="E157" s="698">
        <f t="shared" ca="1" si="44"/>
        <v>0</v>
      </c>
      <c r="F157" s="698">
        <f t="shared" ca="1" si="44"/>
        <v>0</v>
      </c>
      <c r="G157" s="699">
        <f t="shared" ca="1" si="44"/>
        <v>0</v>
      </c>
      <c r="H157" s="700">
        <f>HP_1!C59</f>
        <v>0</v>
      </c>
      <c r="I157" s="701">
        <f>HP_1!D59</f>
        <v>0</v>
      </c>
      <c r="J157" s="701">
        <f>HP_1!E59</f>
        <v>0</v>
      </c>
      <c r="K157" s="701">
        <f>HP_1!F59</f>
        <v>0</v>
      </c>
      <c r="L157" s="702">
        <f>HP_1!G59</f>
        <v>0</v>
      </c>
      <c r="M157" s="697" cm="1">
        <f t="array" aca="1" ref="M157" ca="1">INDIRECT(AB157&amp;M$151&amp;"!"&amp;AG157)</f>
        <v>0</v>
      </c>
      <c r="N157" s="698" cm="1">
        <f t="array" aca="1" ref="N157" ca="1">INDIRECT(AC157&amp;N$151&amp;"!"&amp;AH157)</f>
        <v>0</v>
      </c>
      <c r="O157" s="698" cm="1">
        <f t="array" aca="1" ref="O157" ca="1">INDIRECT(AD157&amp;O$151&amp;"!"&amp;AI157)</f>
        <v>0</v>
      </c>
      <c r="P157" s="698" cm="1">
        <f t="array" aca="1" ref="P157" ca="1">INDIRECT(AE157&amp;P$151&amp;"!"&amp;AJ157)</f>
        <v>0</v>
      </c>
      <c r="Q157" s="699" cm="1">
        <f t="array" aca="1" ref="Q157" ca="1">INDIRECT(AF157&amp;Q$151&amp;"!"&amp;AK157)</f>
        <v>0</v>
      </c>
      <c r="R157" s="697" cm="1">
        <f t="array" aca="1" ref="R157" ca="1">INDIRECT(AB157&amp;R$151&amp;"!"&amp;AG157)</f>
        <v>0</v>
      </c>
      <c r="S157" s="698" cm="1">
        <f t="array" aca="1" ref="S157" ca="1">INDIRECT(AC157&amp;S$151&amp;"!"&amp;AH157)</f>
        <v>0</v>
      </c>
      <c r="T157" s="698" cm="1">
        <f t="array" aca="1" ref="T157" ca="1">INDIRECT(AD157&amp;T$151&amp;"!"&amp;AI157)</f>
        <v>0</v>
      </c>
      <c r="U157" s="698" cm="1">
        <f t="array" aca="1" ref="U157" ca="1">INDIRECT(AE157&amp;U$151&amp;"!"&amp;AJ157)</f>
        <v>0</v>
      </c>
      <c r="V157" s="703" cm="1">
        <f t="array" aca="1" ref="V157" ca="1">INDIRECT(AF157&amp;V$151&amp;"!"&amp;AK157)</f>
        <v>0</v>
      </c>
      <c r="W157" s="704" t="str">
        <f t="shared" ca="1" si="46"/>
        <v>HP_1!C59</v>
      </c>
      <c r="X157" s="705" t="str">
        <f t="shared" ca="1" si="46"/>
        <v>HP_1!D59</v>
      </c>
      <c r="Y157" s="705" t="str">
        <f t="shared" ca="1" si="46"/>
        <v>HP_1!E59</v>
      </c>
      <c r="Z157" s="705" t="str">
        <f t="shared" ca="1" si="46"/>
        <v>HP_1!F59</v>
      </c>
      <c r="AA157" s="706" t="str">
        <f t="shared" ca="1" si="46"/>
        <v>HP_1!G59</v>
      </c>
      <c r="AB157" s="704" t="str">
        <f t="shared" ca="1" si="47"/>
        <v>HP_</v>
      </c>
      <c r="AC157" s="705" t="str">
        <f t="shared" ca="1" si="47"/>
        <v>HP_</v>
      </c>
      <c r="AD157" s="705" t="str">
        <f t="shared" ca="1" si="47"/>
        <v>HP_</v>
      </c>
      <c r="AE157" s="705" t="str">
        <f t="shared" ca="1" si="47"/>
        <v>HP_</v>
      </c>
      <c r="AF157" s="706" t="str">
        <f t="shared" ca="1" si="47"/>
        <v>HP_</v>
      </c>
      <c r="AG157" s="704" t="str">
        <f t="shared" ca="1" si="48"/>
        <v>C59</v>
      </c>
      <c r="AH157" s="705" t="str">
        <f t="shared" ca="1" si="48"/>
        <v>D59</v>
      </c>
      <c r="AI157" s="705" t="str">
        <f t="shared" ca="1" si="48"/>
        <v>E59</v>
      </c>
      <c r="AJ157" s="705" t="str">
        <f t="shared" ca="1" si="48"/>
        <v>F59</v>
      </c>
      <c r="AK157" s="707" t="str">
        <f t="shared" ca="1" si="48"/>
        <v>G59</v>
      </c>
    </row>
    <row r="158" spans="1:37">
      <c r="A158" s="673" t="str">
        <f t="shared" ca="1" si="43"/>
        <v>Low Temperature Heating Capacity (kW)</v>
      </c>
      <c r="B158" s="674">
        <f ca="1">B154</f>
        <v>0</v>
      </c>
      <c r="C158" s="686">
        <f t="shared" ca="1" si="45"/>
        <v>0</v>
      </c>
      <c r="D158" s="687">
        <f t="shared" ca="1" si="44"/>
        <v>0</v>
      </c>
      <c r="E158" s="687">
        <f t="shared" ca="1" si="44"/>
        <v>0</v>
      </c>
      <c r="F158" s="687">
        <f t="shared" ca="1" si="44"/>
        <v>0</v>
      </c>
      <c r="G158" s="688">
        <f t="shared" ca="1" si="44"/>
        <v>0</v>
      </c>
      <c r="H158" s="689">
        <f>HP_1!C46</f>
        <v>0</v>
      </c>
      <c r="I158" s="690">
        <f>HP_1!D46</f>
        <v>0</v>
      </c>
      <c r="J158" s="690">
        <f>HP_1!E46</f>
        <v>0</v>
      </c>
      <c r="K158" s="690">
        <f>HP_1!F46</f>
        <v>0</v>
      </c>
      <c r="L158" s="691">
        <f>HP_1!G46</f>
        <v>0</v>
      </c>
      <c r="M158" s="686" cm="1">
        <f t="array" aca="1" ref="M158" ca="1">INDIRECT(AB158&amp;M$151&amp;"!"&amp;AG158)</f>
        <v>0</v>
      </c>
      <c r="N158" s="687" cm="1">
        <f t="array" aca="1" ref="N158" ca="1">INDIRECT(AC158&amp;N$151&amp;"!"&amp;AH158)</f>
        <v>0</v>
      </c>
      <c r="O158" s="687" cm="1">
        <f t="array" aca="1" ref="O158" ca="1">INDIRECT(AD158&amp;O$151&amp;"!"&amp;AI158)</f>
        <v>0</v>
      </c>
      <c r="P158" s="687" cm="1">
        <f t="array" aca="1" ref="P158" ca="1">INDIRECT(AE158&amp;P$151&amp;"!"&amp;AJ158)</f>
        <v>0</v>
      </c>
      <c r="Q158" s="688" cm="1">
        <f t="array" aca="1" ref="Q158" ca="1">INDIRECT(AF158&amp;Q$151&amp;"!"&amp;AK158)</f>
        <v>0</v>
      </c>
      <c r="R158" s="686" cm="1">
        <f t="array" aca="1" ref="R158" ca="1">INDIRECT(AB158&amp;R$151&amp;"!"&amp;AG158)</f>
        <v>0</v>
      </c>
      <c r="S158" s="687" cm="1">
        <f t="array" aca="1" ref="S158" ca="1">INDIRECT(AC158&amp;S$151&amp;"!"&amp;AH158)</f>
        <v>0</v>
      </c>
      <c r="T158" s="687" cm="1">
        <f t="array" aca="1" ref="T158" ca="1">INDIRECT(AD158&amp;T$151&amp;"!"&amp;AI158)</f>
        <v>0</v>
      </c>
      <c r="U158" s="687" cm="1">
        <f t="array" aca="1" ref="U158" ca="1">INDIRECT(AE158&amp;U$151&amp;"!"&amp;AJ158)</f>
        <v>0</v>
      </c>
      <c r="V158" s="692" cm="1">
        <f t="array" aca="1" ref="V158" ca="1">INDIRECT(AF158&amp;V$151&amp;"!"&amp;AK158)</f>
        <v>0</v>
      </c>
      <c r="W158" s="693" t="str">
        <f t="shared" ca="1" si="46"/>
        <v>HP_1!C46</v>
      </c>
      <c r="X158" s="694" t="str">
        <f t="shared" ca="1" si="46"/>
        <v>HP_1!D46</v>
      </c>
      <c r="Y158" s="694" t="str">
        <f t="shared" ca="1" si="46"/>
        <v>HP_1!E46</v>
      </c>
      <c r="Z158" s="694" t="str">
        <f t="shared" ca="1" si="46"/>
        <v>HP_1!F46</v>
      </c>
      <c r="AA158" s="695" t="str">
        <f t="shared" ca="1" si="46"/>
        <v>HP_1!G46</v>
      </c>
      <c r="AB158" s="693" t="str">
        <f t="shared" ca="1" si="47"/>
        <v>HP_</v>
      </c>
      <c r="AC158" s="694" t="str">
        <f t="shared" ca="1" si="47"/>
        <v>HP_</v>
      </c>
      <c r="AD158" s="694" t="str">
        <f t="shared" ca="1" si="47"/>
        <v>HP_</v>
      </c>
      <c r="AE158" s="694" t="str">
        <f t="shared" ca="1" si="47"/>
        <v>HP_</v>
      </c>
      <c r="AF158" s="695" t="str">
        <f t="shared" ca="1" si="47"/>
        <v>HP_</v>
      </c>
      <c r="AG158" s="693" t="str">
        <f t="shared" ca="1" si="48"/>
        <v>C46</v>
      </c>
      <c r="AH158" s="694" t="str">
        <f t="shared" ca="1" si="48"/>
        <v>D46</v>
      </c>
      <c r="AI158" s="694" t="str">
        <f t="shared" ca="1" si="48"/>
        <v>E46</v>
      </c>
      <c r="AJ158" s="694" t="str">
        <f t="shared" ca="1" si="48"/>
        <v>F46</v>
      </c>
      <c r="AK158" s="696" t="str">
        <f t="shared" ca="1" si="48"/>
        <v>G46</v>
      </c>
    </row>
    <row r="159" spans="1:37">
      <c r="A159" s="673" t="str">
        <f t="shared" ca="1" si="43"/>
        <v>Medium Temperature Heating Capacity (kW)</v>
      </c>
      <c r="B159" s="674">
        <f ca="1">B155</f>
        <v>0</v>
      </c>
      <c r="C159" s="686">
        <f t="shared" ca="1" si="45"/>
        <v>0</v>
      </c>
      <c r="D159" s="687">
        <f t="shared" ca="1" si="44"/>
        <v>0</v>
      </c>
      <c r="E159" s="687">
        <f t="shared" ca="1" si="44"/>
        <v>0</v>
      </c>
      <c r="F159" s="687">
        <f t="shared" ca="1" si="44"/>
        <v>0</v>
      </c>
      <c r="G159" s="688">
        <f t="shared" ca="1" si="44"/>
        <v>0</v>
      </c>
      <c r="H159" s="689">
        <f>HP_1!C50</f>
        <v>0</v>
      </c>
      <c r="I159" s="690">
        <f>HP_1!D50</f>
        <v>0</v>
      </c>
      <c r="J159" s="690">
        <f>HP_1!E50</f>
        <v>0</v>
      </c>
      <c r="K159" s="690">
        <f>HP_1!F50</f>
        <v>0</v>
      </c>
      <c r="L159" s="691">
        <f>HP_1!G50</f>
        <v>0</v>
      </c>
      <c r="M159" s="686" cm="1">
        <f t="array" aca="1" ref="M159" ca="1">INDIRECT(AB159&amp;M$151&amp;"!"&amp;AG159)</f>
        <v>0</v>
      </c>
      <c r="N159" s="687" cm="1">
        <f t="array" aca="1" ref="N159" ca="1">INDIRECT(AC159&amp;N$151&amp;"!"&amp;AH159)</f>
        <v>0</v>
      </c>
      <c r="O159" s="687" cm="1">
        <f t="array" aca="1" ref="O159" ca="1">INDIRECT(AD159&amp;O$151&amp;"!"&amp;AI159)</f>
        <v>0</v>
      </c>
      <c r="P159" s="687" cm="1">
        <f t="array" aca="1" ref="P159" ca="1">INDIRECT(AE159&amp;P$151&amp;"!"&amp;AJ159)</f>
        <v>0</v>
      </c>
      <c r="Q159" s="688" cm="1">
        <f t="array" aca="1" ref="Q159" ca="1">INDIRECT(AF159&amp;Q$151&amp;"!"&amp;AK159)</f>
        <v>0</v>
      </c>
      <c r="R159" s="686" cm="1">
        <f t="array" aca="1" ref="R159" ca="1">INDIRECT(AB159&amp;R$151&amp;"!"&amp;AG159)</f>
        <v>0</v>
      </c>
      <c r="S159" s="687" cm="1">
        <f t="array" aca="1" ref="S159" ca="1">INDIRECT(AC159&amp;S$151&amp;"!"&amp;AH159)</f>
        <v>0</v>
      </c>
      <c r="T159" s="687" cm="1">
        <f t="array" aca="1" ref="T159" ca="1">INDIRECT(AD159&amp;T$151&amp;"!"&amp;AI159)</f>
        <v>0</v>
      </c>
      <c r="U159" s="687" cm="1">
        <f t="array" aca="1" ref="U159" ca="1">INDIRECT(AE159&amp;U$151&amp;"!"&amp;AJ159)</f>
        <v>0</v>
      </c>
      <c r="V159" s="692" cm="1">
        <f t="array" aca="1" ref="V159" ca="1">INDIRECT(AF159&amp;V$151&amp;"!"&amp;AK159)</f>
        <v>0</v>
      </c>
      <c r="W159" s="693" t="str">
        <f t="shared" ca="1" si="46"/>
        <v>HP_1!C50</v>
      </c>
      <c r="X159" s="694" t="str">
        <f t="shared" ca="1" si="46"/>
        <v>HP_1!D50</v>
      </c>
      <c r="Y159" s="694" t="str">
        <f t="shared" ca="1" si="46"/>
        <v>HP_1!E50</v>
      </c>
      <c r="Z159" s="694" t="str">
        <f t="shared" ca="1" si="46"/>
        <v>HP_1!F50</v>
      </c>
      <c r="AA159" s="695" t="str">
        <f t="shared" ca="1" si="46"/>
        <v>HP_1!G50</v>
      </c>
      <c r="AB159" s="693" t="str">
        <f t="shared" ca="1" si="47"/>
        <v>HP_</v>
      </c>
      <c r="AC159" s="694" t="str">
        <f t="shared" ca="1" si="47"/>
        <v>HP_</v>
      </c>
      <c r="AD159" s="694" t="str">
        <f t="shared" ca="1" si="47"/>
        <v>HP_</v>
      </c>
      <c r="AE159" s="694" t="str">
        <f t="shared" ca="1" si="47"/>
        <v>HP_</v>
      </c>
      <c r="AF159" s="695" t="str">
        <f t="shared" ca="1" si="47"/>
        <v>HP_</v>
      </c>
      <c r="AG159" s="693" t="str">
        <f t="shared" ca="1" si="48"/>
        <v>C50</v>
      </c>
      <c r="AH159" s="694" t="str">
        <f t="shared" ca="1" si="48"/>
        <v>D50</v>
      </c>
      <c r="AI159" s="694" t="str">
        <f t="shared" ca="1" si="48"/>
        <v>E50</v>
      </c>
      <c r="AJ159" s="694" t="str">
        <f t="shared" ca="1" si="48"/>
        <v>F50</v>
      </c>
      <c r="AK159" s="696" t="str">
        <f t="shared" ca="1" si="48"/>
        <v>G50</v>
      </c>
    </row>
    <row r="160" spans="1:37">
      <c r="A160" s="673" t="str">
        <f t="shared" ca="1" si="43"/>
        <v>High Temperature Heating Capacity (kW)</v>
      </c>
      <c r="B160" s="674">
        <f ca="1">B156</f>
        <v>1</v>
      </c>
      <c r="C160" s="686">
        <f t="shared" ca="1" si="45"/>
        <v>0</v>
      </c>
      <c r="D160" s="687">
        <f t="shared" ca="1" si="44"/>
        <v>0</v>
      </c>
      <c r="E160" s="687">
        <f t="shared" ca="1" si="44"/>
        <v>0</v>
      </c>
      <c r="F160" s="687">
        <f t="shared" ca="1" si="44"/>
        <v>0</v>
      </c>
      <c r="G160" s="688">
        <f t="shared" ca="1" si="44"/>
        <v>0</v>
      </c>
      <c r="H160" s="689">
        <f>HP_1!C54</f>
        <v>0</v>
      </c>
      <c r="I160" s="690">
        <f>HP_1!D54</f>
        <v>0</v>
      </c>
      <c r="J160" s="690">
        <f>HP_1!E54</f>
        <v>0</v>
      </c>
      <c r="K160" s="690">
        <f>HP_1!F54</f>
        <v>0</v>
      </c>
      <c r="L160" s="691">
        <f>HP_1!G54</f>
        <v>0</v>
      </c>
      <c r="M160" s="686" cm="1">
        <f t="array" aca="1" ref="M160" ca="1">INDIRECT(AB160&amp;M$151&amp;"!"&amp;AG160)</f>
        <v>0</v>
      </c>
      <c r="N160" s="687" cm="1">
        <f t="array" aca="1" ref="N160" ca="1">INDIRECT(AC160&amp;N$151&amp;"!"&amp;AH160)</f>
        <v>0</v>
      </c>
      <c r="O160" s="687" cm="1">
        <f t="array" aca="1" ref="O160" ca="1">INDIRECT(AD160&amp;O$151&amp;"!"&amp;AI160)</f>
        <v>0</v>
      </c>
      <c r="P160" s="687" cm="1">
        <f t="array" aca="1" ref="P160" ca="1">INDIRECT(AE160&amp;P$151&amp;"!"&amp;AJ160)</f>
        <v>0</v>
      </c>
      <c r="Q160" s="688" cm="1">
        <f t="array" aca="1" ref="Q160" ca="1">INDIRECT(AF160&amp;Q$151&amp;"!"&amp;AK160)</f>
        <v>0</v>
      </c>
      <c r="R160" s="686" cm="1">
        <f t="array" aca="1" ref="R160" ca="1">INDIRECT(AB160&amp;R$151&amp;"!"&amp;AG160)</f>
        <v>0</v>
      </c>
      <c r="S160" s="687" cm="1">
        <f t="array" aca="1" ref="S160" ca="1">INDIRECT(AC160&amp;S$151&amp;"!"&amp;AH160)</f>
        <v>0</v>
      </c>
      <c r="T160" s="687" cm="1">
        <f t="array" aca="1" ref="T160" ca="1">INDIRECT(AD160&amp;T$151&amp;"!"&amp;AI160)</f>
        <v>0</v>
      </c>
      <c r="U160" s="687" cm="1">
        <f t="array" aca="1" ref="U160" ca="1">INDIRECT(AE160&amp;U$151&amp;"!"&amp;AJ160)</f>
        <v>0</v>
      </c>
      <c r="V160" s="692" cm="1">
        <f t="array" aca="1" ref="V160" ca="1">INDIRECT(AF160&amp;V$151&amp;"!"&amp;AK160)</f>
        <v>0</v>
      </c>
      <c r="W160" s="693" t="str">
        <f t="shared" ca="1" si="46"/>
        <v>HP_1!C54</v>
      </c>
      <c r="X160" s="694" t="str">
        <f t="shared" ca="1" si="46"/>
        <v>HP_1!D54</v>
      </c>
      <c r="Y160" s="694" t="str">
        <f t="shared" ca="1" si="46"/>
        <v>HP_1!E54</v>
      </c>
      <c r="Z160" s="694" t="str">
        <f t="shared" ca="1" si="46"/>
        <v>HP_1!F54</v>
      </c>
      <c r="AA160" s="695" t="str">
        <f t="shared" ca="1" si="46"/>
        <v>HP_1!G54</v>
      </c>
      <c r="AB160" s="693" t="str">
        <f t="shared" ca="1" si="47"/>
        <v>HP_</v>
      </c>
      <c r="AC160" s="694" t="str">
        <f t="shared" ca="1" si="47"/>
        <v>HP_</v>
      </c>
      <c r="AD160" s="694" t="str">
        <f t="shared" ca="1" si="47"/>
        <v>HP_</v>
      </c>
      <c r="AE160" s="694" t="str">
        <f t="shared" ca="1" si="47"/>
        <v>HP_</v>
      </c>
      <c r="AF160" s="695" t="str">
        <f t="shared" ca="1" si="47"/>
        <v>HP_</v>
      </c>
      <c r="AG160" s="693" t="str">
        <f t="shared" ca="1" si="48"/>
        <v>C54</v>
      </c>
      <c r="AH160" s="694" t="str">
        <f t="shared" ca="1" si="48"/>
        <v>D54</v>
      </c>
      <c r="AI160" s="694" t="str">
        <f t="shared" ca="1" si="48"/>
        <v>E54</v>
      </c>
      <c r="AJ160" s="694" t="str">
        <f t="shared" ca="1" si="48"/>
        <v>F54</v>
      </c>
      <c r="AK160" s="696" t="str">
        <f t="shared" ca="1" si="48"/>
        <v>G54</v>
      </c>
    </row>
    <row r="161" spans="1:37" ht="13.5" thickBot="1">
      <c r="A161" s="708" t="str">
        <f t="shared" ca="1" si="43"/>
        <v>Very high Temperature Heating Capacity (kW)</v>
      </c>
      <c r="B161" s="709">
        <f ca="1">B157</f>
        <v>0</v>
      </c>
      <c r="C161" s="697">
        <f t="shared" ca="1" si="45"/>
        <v>0</v>
      </c>
      <c r="D161" s="698">
        <f t="shared" ca="1" si="44"/>
        <v>0</v>
      </c>
      <c r="E161" s="698">
        <f t="shared" ca="1" si="44"/>
        <v>0</v>
      </c>
      <c r="F161" s="698">
        <f t="shared" ca="1" si="44"/>
        <v>0</v>
      </c>
      <c r="G161" s="699">
        <f t="shared" ca="1" si="44"/>
        <v>0</v>
      </c>
      <c r="H161" s="700">
        <f>HP_1!C58</f>
        <v>0</v>
      </c>
      <c r="I161" s="701">
        <f>HP_1!D58</f>
        <v>0</v>
      </c>
      <c r="J161" s="701">
        <f>HP_1!E58</f>
        <v>0</v>
      </c>
      <c r="K161" s="701">
        <f>HP_1!F58</f>
        <v>0</v>
      </c>
      <c r="L161" s="702">
        <f>HP_1!G58</f>
        <v>0</v>
      </c>
      <c r="M161" s="697" cm="1">
        <f t="array" aca="1" ref="M161" ca="1">INDIRECT(AB161&amp;M$151&amp;"!"&amp;AG161)</f>
        <v>0</v>
      </c>
      <c r="N161" s="698" cm="1">
        <f t="array" aca="1" ref="N161" ca="1">INDIRECT(AC161&amp;N$151&amp;"!"&amp;AH161)</f>
        <v>0</v>
      </c>
      <c r="O161" s="698" cm="1">
        <f t="array" aca="1" ref="O161" ca="1">INDIRECT(AD161&amp;O$151&amp;"!"&amp;AI161)</f>
        <v>0</v>
      </c>
      <c r="P161" s="698" cm="1">
        <f t="array" aca="1" ref="P161" ca="1">INDIRECT(AE161&amp;P$151&amp;"!"&amp;AJ161)</f>
        <v>0</v>
      </c>
      <c r="Q161" s="699" cm="1">
        <f t="array" aca="1" ref="Q161" ca="1">INDIRECT(AF161&amp;Q$151&amp;"!"&amp;AK161)</f>
        <v>0</v>
      </c>
      <c r="R161" s="697" cm="1">
        <f t="array" aca="1" ref="R161" ca="1">INDIRECT(AB161&amp;R$151&amp;"!"&amp;AG161)</f>
        <v>0</v>
      </c>
      <c r="S161" s="698" cm="1">
        <f t="array" aca="1" ref="S161" ca="1">INDIRECT(AC161&amp;S$151&amp;"!"&amp;AH161)</f>
        <v>0</v>
      </c>
      <c r="T161" s="698" cm="1">
        <f t="array" aca="1" ref="T161" ca="1">INDIRECT(AD161&amp;T$151&amp;"!"&amp;AI161)</f>
        <v>0</v>
      </c>
      <c r="U161" s="698" cm="1">
        <f t="array" aca="1" ref="U161" ca="1">INDIRECT(AE161&amp;U$151&amp;"!"&amp;AJ161)</f>
        <v>0</v>
      </c>
      <c r="V161" s="703" cm="1">
        <f t="array" aca="1" ref="V161" ca="1">INDIRECT(AF161&amp;V$151&amp;"!"&amp;AK161)</f>
        <v>0</v>
      </c>
      <c r="W161" s="704" t="str">
        <f t="shared" ca="1" si="46"/>
        <v>HP_1!C58</v>
      </c>
      <c r="X161" s="705" t="str">
        <f t="shared" ca="1" si="46"/>
        <v>HP_1!D58</v>
      </c>
      <c r="Y161" s="705" t="str">
        <f t="shared" ca="1" si="46"/>
        <v>HP_1!E58</v>
      </c>
      <c r="Z161" s="705" t="str">
        <f t="shared" ca="1" si="46"/>
        <v>HP_1!F58</v>
      </c>
      <c r="AA161" s="706" t="str">
        <f t="shared" ca="1" si="46"/>
        <v>HP_1!G58</v>
      </c>
      <c r="AB161" s="704" t="str">
        <f t="shared" ca="1" si="47"/>
        <v>HP_</v>
      </c>
      <c r="AC161" s="705" t="str">
        <f t="shared" ca="1" si="47"/>
        <v>HP_</v>
      </c>
      <c r="AD161" s="705" t="str">
        <f t="shared" ca="1" si="47"/>
        <v>HP_</v>
      </c>
      <c r="AE161" s="705" t="str">
        <f t="shared" ca="1" si="47"/>
        <v>HP_</v>
      </c>
      <c r="AF161" s="706" t="str">
        <f t="shared" ca="1" si="47"/>
        <v>HP_</v>
      </c>
      <c r="AG161" s="704" t="str">
        <f t="shared" ca="1" si="48"/>
        <v>C58</v>
      </c>
      <c r="AH161" s="705" t="str">
        <f t="shared" ca="1" si="48"/>
        <v>D58</v>
      </c>
      <c r="AI161" s="705" t="str">
        <f t="shared" ca="1" si="48"/>
        <v>E58</v>
      </c>
      <c r="AJ161" s="705" t="str">
        <f t="shared" ca="1" si="48"/>
        <v>F58</v>
      </c>
      <c r="AK161" s="707" t="str">
        <f t="shared" ca="1" si="48"/>
        <v>G58</v>
      </c>
    </row>
  </sheetData>
  <sheetProtection algorithmName="SHA-512" hashValue="9VuIAHJfViDHfHxnTub4ihDrKoWfttUoYFUcS29iDpFGdDgvTfH6v63FX0ScUG0mLUYgRNujxvujuTOqIJpsiw==" saltValue="96f3hOBXRyiooNY95d+b9Q==" spinCount="100000" sheet="1" objects="1" scenarios="1"/>
  <autoFilter ref="A1:AD56" xr:uid="{00000000-0009-0000-0000-000013000000}"/>
  <mergeCells count="5">
    <mergeCell ref="AF3:AI3"/>
    <mergeCell ref="C40:H40"/>
    <mergeCell ref="W151:AA151"/>
    <mergeCell ref="AB151:AF151"/>
    <mergeCell ref="AG151:AK151"/>
  </mergeCells>
  <pageMargins left="0.75" right="0.75" top="1" bottom="1" header="0.5" footer="0.5"/>
  <pageSetup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V185"/>
  <sheetViews>
    <sheetView workbookViewId="0">
      <selection activeCell="F18" sqref="F18"/>
    </sheetView>
  </sheetViews>
  <sheetFormatPr defaultColWidth="9.140625" defaultRowHeight="12.75"/>
  <cols>
    <col min="1" max="1" width="35.7109375" style="39" customWidth="1"/>
    <col min="2" max="2" width="29.7109375" style="39" customWidth="1"/>
    <col min="3" max="4" width="9.140625" style="39"/>
    <col min="5" max="5" width="29.7109375" style="39" customWidth="1"/>
    <col min="6" max="9" width="9.140625" style="39"/>
    <col min="10" max="10" width="16.140625" style="39" bestFit="1" customWidth="1"/>
    <col min="11" max="11" width="9.140625" style="39"/>
    <col min="12" max="12" width="23" style="3" bestFit="1" customWidth="1"/>
    <col min="13" max="13" width="18.28515625" style="3" customWidth="1"/>
    <col min="14" max="14" width="9.140625" style="3"/>
    <col min="15" max="15" width="9.140625" style="39"/>
    <col min="16" max="16" width="13.5703125" style="39" customWidth="1"/>
    <col min="17" max="20" width="9.140625" style="39"/>
    <col min="21" max="21" width="23.42578125" style="39" customWidth="1"/>
    <col min="22" max="22" width="17.28515625" style="39" customWidth="1"/>
    <col min="23" max="16384" width="9.140625" style="39"/>
  </cols>
  <sheetData>
    <row r="1" spans="1:22" ht="18.75" thickBot="1">
      <c r="A1" s="39" t="s">
        <v>1</v>
      </c>
      <c r="J1" s="292" t="s">
        <v>509</v>
      </c>
      <c r="K1" s="293">
        <v>1</v>
      </c>
      <c r="M1" s="43"/>
      <c r="N1" s="43"/>
      <c r="P1" s="39" t="s">
        <v>285</v>
      </c>
    </row>
    <row r="2" spans="1:22" ht="15.75">
      <c r="A2" s="1" t="s">
        <v>494</v>
      </c>
      <c r="M2" s="43"/>
      <c r="P2" s="39" t="s">
        <v>286</v>
      </c>
      <c r="Q2" s="39" t="s">
        <v>177</v>
      </c>
      <c r="S2" s="99" t="s">
        <v>287</v>
      </c>
      <c r="T2" s="99" t="s">
        <v>288</v>
      </c>
      <c r="U2" s="39" t="s">
        <v>289</v>
      </c>
      <c r="V2" s="39" t="s">
        <v>290</v>
      </c>
    </row>
    <row r="3" spans="1:22" ht="15.75">
      <c r="A3" s="39" t="s">
        <v>291</v>
      </c>
      <c r="B3" s="351">
        <f>E141</f>
        <v>0</v>
      </c>
      <c r="E3" s="39" t="s">
        <v>292</v>
      </c>
      <c r="M3" s="43"/>
      <c r="P3" s="39" t="s">
        <v>59</v>
      </c>
      <c r="Q3" s="39">
        <v>0.34499999999999997</v>
      </c>
      <c r="R3" s="39">
        <v>7</v>
      </c>
      <c r="S3" s="100" t="s">
        <v>1</v>
      </c>
      <c r="T3" s="100" t="s">
        <v>1</v>
      </c>
      <c r="U3" s="99">
        <f>IF(E94="Yes",0,IF($B$6=P3,IF($B$3&gt;R3,1,0),0))</f>
        <v>0</v>
      </c>
      <c r="V3" s="99">
        <f>IF(E94="Yes",0,IF($B$6=P3,IF(E127&gt;R3,1,0),0))</f>
        <v>0</v>
      </c>
    </row>
    <row r="4" spans="1:22" ht="15.75">
      <c r="A4" s="39" t="s">
        <v>293</v>
      </c>
      <c r="B4" s="351">
        <f>E126</f>
        <v>65</v>
      </c>
      <c r="C4" s="39" t="s">
        <v>294</v>
      </c>
      <c r="M4" s="43"/>
      <c r="P4" s="39" t="s">
        <v>68</v>
      </c>
      <c r="Q4" s="39">
        <v>2.1</v>
      </c>
      <c r="R4" s="39">
        <v>15</v>
      </c>
      <c r="S4" s="100" t="s">
        <v>1</v>
      </c>
      <c r="T4" s="100" t="s">
        <v>1</v>
      </c>
      <c r="U4" s="99">
        <f>IF(E94="Yes",0,IF($B$6=P4,IF($B$3&gt;R4,1,0),0))</f>
        <v>0</v>
      </c>
      <c r="V4" s="99">
        <f>IF(E94="Yes",0,IF($B$6=P4,IF(E127&gt;R4,1,0),0))</f>
        <v>0</v>
      </c>
    </row>
    <row r="5" spans="1:22">
      <c r="A5" s="39" t="s">
        <v>295</v>
      </c>
      <c r="B5" s="351">
        <f>E140</f>
        <v>0</v>
      </c>
      <c r="C5" s="39" t="s">
        <v>177</v>
      </c>
      <c r="E5" s="39" t="s">
        <v>292</v>
      </c>
      <c r="P5" s="39" t="s">
        <v>78</v>
      </c>
      <c r="Q5" s="39">
        <v>2.1</v>
      </c>
      <c r="R5" s="39">
        <v>15</v>
      </c>
      <c r="S5" s="100" t="s">
        <v>1</v>
      </c>
      <c r="T5" s="100" t="s">
        <v>1</v>
      </c>
      <c r="U5" s="99">
        <f>IF(E94="Yes",0,IF($B$6=P5,IF($B$3&gt;R5,1,0),0))</f>
        <v>0</v>
      </c>
      <c r="V5" s="99">
        <f>IF(E94="Yes",0,IF($B$6=P5,IF(E127&gt;R5,1,0),0))</f>
        <v>0</v>
      </c>
    </row>
    <row r="6" spans="1:22">
      <c r="A6" s="39" t="s">
        <v>175</v>
      </c>
      <c r="B6" s="353" t="str">
        <f>E139</f>
        <v>M</v>
      </c>
      <c r="P6" s="39" t="s">
        <v>86</v>
      </c>
      <c r="Q6" s="39">
        <v>2.1</v>
      </c>
      <c r="R6" s="39">
        <v>36</v>
      </c>
      <c r="S6" s="100" t="s">
        <v>1</v>
      </c>
      <c r="T6" s="100" t="s">
        <v>1</v>
      </c>
      <c r="U6" s="99">
        <f>IF(E94="Yes",0,IF($B$6=P6,IF($B$3&gt;R6,1,0),0))</f>
        <v>0</v>
      </c>
      <c r="V6" s="99">
        <f>IF(E94="Yes",0,IF($B$6=P6,IF(E127&gt;R6,1,0),0))</f>
        <v>0</v>
      </c>
    </row>
    <row r="7" spans="1:22">
      <c r="A7" s="39" t="s">
        <v>296</v>
      </c>
      <c r="B7" s="39">
        <f>VLOOKUP(B6,P3:R13,3,)</f>
        <v>65</v>
      </c>
      <c r="C7" s="39" t="s">
        <v>179</v>
      </c>
      <c r="E7" s="39" t="s">
        <v>1</v>
      </c>
      <c r="G7" s="101" t="s">
        <v>1</v>
      </c>
      <c r="M7" s="102"/>
      <c r="P7" s="39" t="s">
        <v>91</v>
      </c>
      <c r="Q7" s="39">
        <v>5.8449999999999998</v>
      </c>
      <c r="R7" s="39">
        <v>65</v>
      </c>
      <c r="S7" s="4" t="e">
        <f t="shared" ref="S7:S12" si="0">R7/(($E$136-10)/30)</f>
        <v>#VALUE!</v>
      </c>
      <c r="T7" s="4">
        <f t="shared" ref="T7:T12" si="1">R7/((60-10)/30)</f>
        <v>39</v>
      </c>
      <c r="U7" s="99" t="e">
        <f>IF(E94="Yes",0,IF($B$6=P7,IF($B$3&lt;S7,1,0),0))</f>
        <v>#VALUE!</v>
      </c>
      <c r="V7" s="99">
        <f>IF(E94="Yes",0,IF($B$6=P7,IF(E127&lt;T7,1,0),0))</f>
        <v>1</v>
      </c>
    </row>
    <row r="8" spans="1:22">
      <c r="A8" s="39" t="s">
        <v>297</v>
      </c>
      <c r="B8" s="39">
        <f>VLOOKUP(B6,P3:Q13,2,)</f>
        <v>5.8449999999999998</v>
      </c>
      <c r="C8" s="39" t="s">
        <v>177</v>
      </c>
      <c r="E8" s="39" t="s">
        <v>298</v>
      </c>
      <c r="P8" s="39" t="s">
        <v>94</v>
      </c>
      <c r="Q8" s="39">
        <v>11.654999999999999</v>
      </c>
      <c r="R8" s="39">
        <v>130</v>
      </c>
      <c r="S8" s="4" t="e">
        <f t="shared" si="0"/>
        <v>#VALUE!</v>
      </c>
      <c r="T8" s="4">
        <f t="shared" si="1"/>
        <v>78</v>
      </c>
      <c r="U8" s="99">
        <f>IF(E94="Yes",0,IF($B$6=P8,IF($B$3&lt;S8,1,0),0))</f>
        <v>0</v>
      </c>
      <c r="V8" s="99">
        <f>IF(E94="Yes",0,IF($B$6=P8,IF(E127&lt;T8,1,0),0))</f>
        <v>0</v>
      </c>
    </row>
    <row r="9" spans="1:22">
      <c r="A9" s="99" t="str">
        <f>"COP based on "&amp;E122</f>
        <v>COP based on I.S. EN 16147</v>
      </c>
      <c r="B9" s="352">
        <f>E135</f>
        <v>0</v>
      </c>
      <c r="P9" s="39" t="s">
        <v>97</v>
      </c>
      <c r="Q9" s="39">
        <v>19.07</v>
      </c>
      <c r="R9" s="39">
        <v>210</v>
      </c>
      <c r="S9" s="4" t="e">
        <f t="shared" si="0"/>
        <v>#VALUE!</v>
      </c>
      <c r="T9" s="4">
        <f t="shared" si="1"/>
        <v>126</v>
      </c>
      <c r="U9" s="99">
        <f>IF(E94="Yes",0,IF($B$6=P9,IF($B$3&lt;S9,1,0),0))</f>
        <v>0</v>
      </c>
      <c r="V9" s="99">
        <f>IF(E94="Yes",0,IF($B$6=P9,IF(E127&lt;T9,1,0),0))</f>
        <v>0</v>
      </c>
    </row>
    <row r="10" spans="1:22">
      <c r="A10" s="39" t="s">
        <v>173</v>
      </c>
      <c r="B10" s="351">
        <f>E138</f>
        <v>0</v>
      </c>
      <c r="C10" s="39" t="s">
        <v>174</v>
      </c>
      <c r="P10" s="39" t="s">
        <v>100</v>
      </c>
      <c r="Q10" s="39">
        <v>24.53</v>
      </c>
      <c r="R10" s="39">
        <v>300</v>
      </c>
      <c r="S10" s="4" t="e">
        <f t="shared" si="0"/>
        <v>#VALUE!</v>
      </c>
      <c r="T10" s="4">
        <f t="shared" si="1"/>
        <v>180</v>
      </c>
      <c r="U10" s="99">
        <f>IF(E94="Yes",0,IF($B$6=P10,IF($B$3&lt;S10,1,0),0))</f>
        <v>0</v>
      </c>
      <c r="V10" s="99">
        <f>IF(E94="Yes",0,IF($B$6=P10,IF(E127&lt;T10,1,0),0))</f>
        <v>0</v>
      </c>
    </row>
    <row r="11" spans="1:22">
      <c r="A11" s="39" t="s">
        <v>1</v>
      </c>
      <c r="P11" s="39" t="s">
        <v>101</v>
      </c>
      <c r="Q11" s="39">
        <v>46.76</v>
      </c>
      <c r="R11" s="39">
        <v>520</v>
      </c>
      <c r="S11" s="4" t="e">
        <f t="shared" si="0"/>
        <v>#VALUE!</v>
      </c>
      <c r="T11" s="4">
        <f t="shared" si="1"/>
        <v>312</v>
      </c>
      <c r="U11" s="99">
        <f>IF(E94="Yes",0,IF($B$6=P11,IF($B$3&lt;S11,1,0),0))</f>
        <v>0</v>
      </c>
      <c r="V11" s="99">
        <f>IF(E94="Yes",0,IF($B$6=P11,IF(E127&lt;T11,1,0),0))</f>
        <v>0</v>
      </c>
    </row>
    <row r="12" spans="1:22">
      <c r="A12" s="39" t="s">
        <v>299</v>
      </c>
      <c r="B12" s="4">
        <f>IF(E122="I.S. EN 14825/14511",B9,B9*(1+B5/B8))</f>
        <v>0</v>
      </c>
      <c r="E12" s="99" t="s">
        <v>416</v>
      </c>
      <c r="P12" s="39" t="s">
        <v>104</v>
      </c>
      <c r="Q12" s="39">
        <v>93.52</v>
      </c>
      <c r="R12" s="39">
        <v>1040</v>
      </c>
      <c r="S12" s="4" t="e">
        <f t="shared" si="0"/>
        <v>#VALUE!</v>
      </c>
      <c r="T12" s="4">
        <f t="shared" si="1"/>
        <v>624</v>
      </c>
      <c r="U12" s="99">
        <f>IF(E94="Yes",0,IF($B$6=P12,IF($B$3&lt;S12,1,0),0))</f>
        <v>0</v>
      </c>
      <c r="V12" s="99">
        <f>IF(E94="Yes",0,IF($B$6=P12,IF(E127&lt;T12,1,0),0))</f>
        <v>0</v>
      </c>
    </row>
    <row r="13" spans="1:22">
      <c r="P13" s="39">
        <v>0</v>
      </c>
    </row>
    <row r="14" spans="1:22" ht="14.25">
      <c r="A14" s="39" t="s">
        <v>300</v>
      </c>
      <c r="B14" s="351" t="str">
        <f>E136</f>
        <v xml:space="preserve"> </v>
      </c>
      <c r="C14" s="99" t="s">
        <v>301</v>
      </c>
      <c r="U14" s="39" t="e">
        <f>IF($E$122="I.S. EN 14825/14511",0,SUM(U3:U13))</f>
        <v>#VALUE!</v>
      </c>
      <c r="V14" s="39">
        <f>IF($E$122="I.S. EN 14825/14511",0,SUM(V3:V13))</f>
        <v>1</v>
      </c>
    </row>
    <row r="15" spans="1:22" ht="14.25">
      <c r="A15" s="39" t="s">
        <v>302</v>
      </c>
      <c r="B15" s="351">
        <f>IF(E122="I.S. EN 14825/14511",B14,E126)</f>
        <v>65</v>
      </c>
      <c r="C15" s="99" t="s">
        <v>301</v>
      </c>
    </row>
    <row r="16" spans="1:22" ht="14.25">
      <c r="A16" s="39" t="s">
        <v>303</v>
      </c>
      <c r="B16" s="351">
        <f>E125</f>
        <v>10</v>
      </c>
      <c r="C16" s="99" t="s">
        <v>301</v>
      </c>
      <c r="M16" s="102"/>
      <c r="P16" s="39" t="s">
        <v>1</v>
      </c>
      <c r="U16" s="99" t="s">
        <v>581</v>
      </c>
      <c r="V16" s="99" t="s">
        <v>580</v>
      </c>
    </row>
    <row r="17" spans="1:21" ht="25.5">
      <c r="A17" s="104" t="s">
        <v>304</v>
      </c>
      <c r="B17" s="4" t="e">
        <f>(B15-B14)/(B15-B16)</f>
        <v>#VALUE!</v>
      </c>
    </row>
    <row r="18" spans="1:21">
      <c r="U18" s="104" t="s">
        <v>1</v>
      </c>
    </row>
    <row r="19" spans="1:21">
      <c r="A19" s="39" t="s">
        <v>306</v>
      </c>
      <c r="B19" s="39">
        <f>IF(E94="No",E123,((E123*E97)/E96))</f>
        <v>0</v>
      </c>
      <c r="C19" s="39" t="s">
        <v>43</v>
      </c>
      <c r="I19" s="2"/>
    </row>
    <row r="20" spans="1:21">
      <c r="A20" s="39" t="s">
        <v>307</v>
      </c>
      <c r="B20" s="4" t="e">
        <f>B19/B10</f>
        <v>#DIV/0!</v>
      </c>
      <c r="C20" s="99" t="s">
        <v>39</v>
      </c>
      <c r="M20" s="102"/>
    </row>
    <row r="21" spans="1:21">
      <c r="A21" s="99" t="s">
        <v>308</v>
      </c>
      <c r="B21" s="4">
        <f>8760*((24-E112)/24)</f>
        <v>2920</v>
      </c>
      <c r="C21" s="99" t="s">
        <v>39</v>
      </c>
      <c r="E21" s="99" t="s">
        <v>417</v>
      </c>
      <c r="M21" s="102"/>
    </row>
    <row r="22" spans="1:21">
      <c r="A22" s="39" t="s">
        <v>309</v>
      </c>
      <c r="B22" s="4" t="e">
        <f>IF((B20-B21)&lt;0,0,(B20-B21))</f>
        <v>#DIV/0!</v>
      </c>
    </row>
    <row r="23" spans="1:21" ht="25.5">
      <c r="A23" s="104" t="s">
        <v>310</v>
      </c>
      <c r="B23" s="4" t="e">
        <f>(B22*B10)/B19</f>
        <v>#DIV/0!</v>
      </c>
      <c r="M23" s="102"/>
    </row>
    <row r="25" spans="1:21">
      <c r="A25" s="99" t="s">
        <v>453</v>
      </c>
      <c r="B25" s="2" t="e">
        <f>(B19*(1-B17-B23))/B12</f>
        <v>#VALUE!</v>
      </c>
      <c r="C25" s="39" t="s">
        <v>43</v>
      </c>
      <c r="M25" s="102"/>
    </row>
    <row r="26" spans="1:21">
      <c r="A26" s="39" t="s">
        <v>311</v>
      </c>
      <c r="B26" s="2" t="e">
        <f>(B19*B17)/E132</f>
        <v>#VALUE!</v>
      </c>
      <c r="C26" s="39" t="s">
        <v>43</v>
      </c>
      <c r="E26" s="99" t="s">
        <v>454</v>
      </c>
    </row>
    <row r="27" spans="1:21">
      <c r="A27" s="39" t="s">
        <v>312</v>
      </c>
      <c r="B27" s="2" t="e">
        <f>(B19*B23)/E132</f>
        <v>#DIV/0!</v>
      </c>
      <c r="C27" s="39" t="s">
        <v>43</v>
      </c>
      <c r="E27" s="99" t="s">
        <v>454</v>
      </c>
    </row>
    <row r="28" spans="1:21">
      <c r="A28" s="99" t="s">
        <v>455</v>
      </c>
      <c r="B28" s="2" t="e">
        <f>SUM(B25:B27)</f>
        <v>#VALUE!</v>
      </c>
      <c r="C28" s="39" t="s">
        <v>43</v>
      </c>
    </row>
    <row r="30" spans="1:21">
      <c r="A30" s="99" t="s">
        <v>314</v>
      </c>
      <c r="B30" s="105" t="e">
        <f>B19/B28</f>
        <v>#VALUE!</v>
      </c>
      <c r="M30" s="102"/>
    </row>
    <row r="31" spans="1:21">
      <c r="F31" s="2"/>
    </row>
    <row r="32" spans="1:21">
      <c r="A32" s="39" t="s">
        <v>278</v>
      </c>
      <c r="B32" s="117" t="e">
        <f>B34-B25</f>
        <v>#VALUE!</v>
      </c>
      <c r="C32" s="39" t="s">
        <v>43</v>
      </c>
    </row>
    <row r="34" spans="1:14">
      <c r="A34" s="39" t="s">
        <v>315</v>
      </c>
      <c r="B34" s="103" t="e">
        <f>B19*(1-B17-B23)</f>
        <v>#VALUE!</v>
      </c>
      <c r="C34" s="39" t="s">
        <v>43</v>
      </c>
    </row>
    <row r="36" spans="1:14">
      <c r="A36" s="99" t="s">
        <v>282</v>
      </c>
      <c r="B36" s="118">
        <f>IF(LEFT(E119,7)="Exhaust",(B10*(1-1/B9)-(E176*1.2/3600)*(20-7))/(B10*(1-1/B9)),1)</f>
        <v>1</v>
      </c>
    </row>
    <row r="37" spans="1:14">
      <c r="B37" s="108"/>
    </row>
    <row r="38" spans="1:14">
      <c r="A38" s="39" t="s">
        <v>281</v>
      </c>
      <c r="B38" s="106" t="e">
        <f>B32*B36</f>
        <v>#VALUE!</v>
      </c>
      <c r="C38" s="39" t="s">
        <v>43</v>
      </c>
    </row>
    <row r="39" spans="1:14">
      <c r="B39" s="108"/>
      <c r="N39" s="102"/>
    </row>
    <row r="40" spans="1:14">
      <c r="D40" s="119"/>
      <c r="L40" s="109"/>
      <c r="N40" s="102"/>
    </row>
    <row r="42" spans="1:14">
      <c r="A42" s="1" t="s">
        <v>316</v>
      </c>
    </row>
    <row r="43" spans="1:14">
      <c r="A43" s="39" t="s">
        <v>306</v>
      </c>
      <c r="B43" s="39">
        <f>B19</f>
        <v>0</v>
      </c>
      <c r="C43" s="39" t="s">
        <v>43</v>
      </c>
    </row>
    <row r="44" spans="1:14">
      <c r="A44" s="39" t="s">
        <v>317</v>
      </c>
      <c r="B44" s="103">
        <f>E147</f>
        <v>3.2</v>
      </c>
    </row>
    <row r="45" spans="1:14">
      <c r="A45" s="39" t="s">
        <v>173</v>
      </c>
      <c r="B45" s="351">
        <f>E149</f>
        <v>7</v>
      </c>
      <c r="C45" s="39" t="s">
        <v>174</v>
      </c>
    </row>
    <row r="47" spans="1:14">
      <c r="A47" s="39" t="s">
        <v>300</v>
      </c>
      <c r="B47" s="351">
        <f>E148</f>
        <v>54</v>
      </c>
      <c r="C47" s="39" t="s">
        <v>294</v>
      </c>
    </row>
    <row r="48" spans="1:14">
      <c r="A48" s="39" t="s">
        <v>302</v>
      </c>
      <c r="B48" s="351">
        <f>E126</f>
        <v>65</v>
      </c>
      <c r="C48" s="39" t="s">
        <v>294</v>
      </c>
    </row>
    <row r="49" spans="1:14">
      <c r="A49" s="39" t="s">
        <v>303</v>
      </c>
      <c r="B49" s="351">
        <f>E125</f>
        <v>10</v>
      </c>
      <c r="C49" s="39" t="s">
        <v>294</v>
      </c>
    </row>
    <row r="51" spans="1:14">
      <c r="A51" s="39" t="s">
        <v>318</v>
      </c>
      <c r="B51" s="4">
        <f>IF((B48-B47)&lt;=0,0,(B48-B47)/(B48-B49))</f>
        <v>0.2</v>
      </c>
      <c r="E51" s="39" t="s">
        <v>305</v>
      </c>
      <c r="L51" s="109"/>
    </row>
    <row r="52" spans="1:14">
      <c r="L52" s="110"/>
      <c r="N52" s="102"/>
    </row>
    <row r="53" spans="1:14">
      <c r="A53" s="39" t="s">
        <v>319</v>
      </c>
      <c r="B53" s="2">
        <f>(B43*(1-B51))/B44</f>
        <v>0</v>
      </c>
      <c r="C53" s="39" t="s">
        <v>43</v>
      </c>
      <c r="N53" s="102"/>
    </row>
    <row r="54" spans="1:14">
      <c r="A54" s="39" t="s">
        <v>320</v>
      </c>
      <c r="B54" s="2">
        <f>(B43*B51)/E132</f>
        <v>0</v>
      </c>
      <c r="C54" s="39" t="s">
        <v>43</v>
      </c>
      <c r="G54" s="39" t="s">
        <v>1</v>
      </c>
      <c r="L54" s="109"/>
    </row>
    <row r="55" spans="1:14">
      <c r="A55" s="39" t="s">
        <v>313</v>
      </c>
      <c r="B55" s="2">
        <f>SUM(B53:B54)</f>
        <v>0</v>
      </c>
      <c r="C55" s="39" t="s">
        <v>43</v>
      </c>
    </row>
    <row r="57" spans="1:14">
      <c r="A57" s="99" t="s">
        <v>314</v>
      </c>
      <c r="B57" s="105" t="e">
        <f>B43/B55</f>
        <v>#DIV/0!</v>
      </c>
    </row>
    <row r="59" spans="1:14">
      <c r="A59" s="39" t="s">
        <v>278</v>
      </c>
      <c r="B59" s="106" t="e">
        <f>IF(B57&gt;2.5,(B57-2.5)*B55,0)</f>
        <v>#DIV/0!</v>
      </c>
      <c r="C59" s="39" t="s">
        <v>43</v>
      </c>
    </row>
    <row r="61" spans="1:14">
      <c r="A61" s="39" t="s">
        <v>315</v>
      </c>
      <c r="B61" s="103">
        <f>B43*(1-B51)</f>
        <v>0</v>
      </c>
      <c r="C61" s="39" t="s">
        <v>43</v>
      </c>
    </row>
    <row r="63" spans="1:14">
      <c r="A63" s="39" t="s">
        <v>321</v>
      </c>
      <c r="B63" s="107" t="e">
        <f>B61/B53</f>
        <v>#DIV/0!</v>
      </c>
    </row>
    <row r="64" spans="1:14">
      <c r="B64" s="108"/>
    </row>
    <row r="65" spans="1:14">
      <c r="A65" s="39" t="s">
        <v>281</v>
      </c>
      <c r="B65" s="106" t="e">
        <f>IF(B63&lt;2.5,0,(B63-2.5)*B53)</f>
        <v>#DIV/0!</v>
      </c>
      <c r="C65" s="39" t="s">
        <v>43</v>
      </c>
    </row>
    <row r="66" spans="1:14">
      <c r="B66" s="108"/>
    </row>
    <row r="67" spans="1:14">
      <c r="L67" s="109"/>
      <c r="N67" s="102"/>
    </row>
    <row r="70" spans="1:14">
      <c r="A70" s="1" t="s">
        <v>322</v>
      </c>
    </row>
    <row r="71" spans="1:14">
      <c r="A71" s="39" t="s">
        <v>306</v>
      </c>
      <c r="B71" s="39">
        <f>B19</f>
        <v>0</v>
      </c>
      <c r="C71" s="39" t="s">
        <v>43</v>
      </c>
    </row>
    <row r="72" spans="1:14">
      <c r="A72" s="39" t="s">
        <v>323</v>
      </c>
      <c r="B72" s="103">
        <f>E143</f>
        <v>3.33</v>
      </c>
    </row>
    <row r="73" spans="1:14">
      <c r="A73" s="39" t="s">
        <v>40</v>
      </c>
      <c r="B73" s="103">
        <f>IF(AND(E145="No",E146="Yes"),0.7,1)</f>
        <v>0.7</v>
      </c>
    </row>
    <row r="74" spans="1:14">
      <c r="A74" s="39" t="s">
        <v>1</v>
      </c>
      <c r="B74" s="39" t="s">
        <v>324</v>
      </c>
      <c r="C74" s="39" t="s">
        <v>1</v>
      </c>
    </row>
    <row r="75" spans="1:14">
      <c r="A75" s="99" t="s">
        <v>314</v>
      </c>
      <c r="B75" s="105">
        <f>IF(AND(E145="No",E146="Yes"),B72,(1/(50/(B72*100)+0.5)))</f>
        <v>3.33</v>
      </c>
      <c r="N75" s="102"/>
    </row>
    <row r="76" spans="1:14">
      <c r="A76" s="99"/>
      <c r="B76" s="111"/>
    </row>
    <row r="77" spans="1:14">
      <c r="A77" s="39" t="s">
        <v>313</v>
      </c>
      <c r="B77" s="111">
        <f>B71/B75</f>
        <v>0</v>
      </c>
      <c r="C77" s="39" t="s">
        <v>43</v>
      </c>
    </row>
    <row r="79" spans="1:14">
      <c r="A79" s="39" t="s">
        <v>278</v>
      </c>
      <c r="B79" s="106">
        <f>IF(B75&gt;2.5,(B75-2.5)*B77,0)</f>
        <v>0</v>
      </c>
      <c r="C79" s="39" t="s">
        <v>43</v>
      </c>
    </row>
    <row r="81" spans="1:14">
      <c r="A81" s="39" t="s">
        <v>315</v>
      </c>
      <c r="B81" s="103">
        <f>IF(B75=B72,B71,B71*0.5)</f>
        <v>0</v>
      </c>
      <c r="C81" s="39" t="s">
        <v>43</v>
      </c>
      <c r="E81" s="2"/>
    </row>
    <row r="83" spans="1:14">
      <c r="A83" s="39" t="s">
        <v>319</v>
      </c>
      <c r="B83" s="39">
        <f>B81/B72</f>
        <v>0</v>
      </c>
      <c r="C83" s="39" t="s">
        <v>43</v>
      </c>
    </row>
    <row r="85" spans="1:14">
      <c r="A85" s="39" t="s">
        <v>281</v>
      </c>
      <c r="B85" s="106">
        <f>IF(B72&lt;2.5,0,(B72-2.5)*B83)</f>
        <v>0</v>
      </c>
      <c r="C85" s="39" t="s">
        <v>43</v>
      </c>
      <c r="N85" s="102"/>
    </row>
    <row r="86" spans="1:14">
      <c r="B86" s="108"/>
    </row>
    <row r="87" spans="1:14">
      <c r="L87" s="109"/>
      <c r="N87" s="102"/>
    </row>
    <row r="89" spans="1:14" ht="24">
      <c r="A89" s="317" t="s">
        <v>568</v>
      </c>
      <c r="B89" s="334" t="s">
        <v>553</v>
      </c>
      <c r="C89" s="334" t="s">
        <v>554</v>
      </c>
      <c r="D89" s="334" t="s">
        <v>555</v>
      </c>
      <c r="E89" s="335"/>
      <c r="F89" s="335"/>
      <c r="G89" s="335"/>
      <c r="H89" s="335"/>
    </row>
    <row r="90" spans="1:14" ht="60">
      <c r="A90" s="336" t="s">
        <v>551</v>
      </c>
      <c r="B90" s="336" t="str">
        <f>RIGHT(B89)</f>
        <v>1</v>
      </c>
      <c r="C90" s="336" t="str">
        <f>RIGHT(C89)</f>
        <v>2</v>
      </c>
      <c r="D90" s="336" t="str">
        <f>RIGHT(D89)</f>
        <v>3</v>
      </c>
      <c r="E90" s="336" t="s">
        <v>552</v>
      </c>
      <c r="F90" s="337" t="s">
        <v>547</v>
      </c>
      <c r="G90" s="337" t="s">
        <v>550</v>
      </c>
      <c r="H90" s="337" t="s">
        <v>556</v>
      </c>
    </row>
    <row r="91" spans="1:14">
      <c r="A91" s="338" t="str">
        <f>HP_1!O12</f>
        <v>Same HP for Space and Water Heating</v>
      </c>
      <c r="B91" s="343" t="b">
        <f>HP_1!N12</f>
        <v>1</v>
      </c>
      <c r="C91" s="345" t="b" cm="1">
        <f t="array" aca="1" ref="C91" ca="1">INDIRECT($F91&amp;C$90&amp;"!"&amp;$G91)</f>
        <v>0</v>
      </c>
      <c r="D91" s="345" t="b" cm="1">
        <f t="array" aca="1" ref="D91" ca="1">INDIRECT($F91&amp;D$90&amp;"!"&amp;$G91)</f>
        <v>0</v>
      </c>
      <c r="E91" s="341" t="b">
        <f>VLOOKUP(A91,A91:D91,$K$1+1,FALSE)</f>
        <v>1</v>
      </c>
      <c r="F91" s="339" t="str">
        <f ca="1">LEFT(H91,FIND("1",H91)-1)</f>
        <v>HP_</v>
      </c>
      <c r="G91" s="339" t="str">
        <f ca="1">RIGHT(H91,LEN(H91)-FIND("!",H91))</f>
        <v>N12</v>
      </c>
      <c r="H91" s="339" t="str">
        <f ca="1">SUBSTITUTE( _xlfn.FORMULATEXT(B91),"=","")</f>
        <v>HP_1!N12</v>
      </c>
    </row>
    <row r="92" spans="1:14">
      <c r="A92" s="338" t="str">
        <f>HP_1!A3</f>
        <v>Total heat loss (W/K) taken from DEAP</v>
      </c>
      <c r="B92" s="346">
        <f>HP_1!B3</f>
        <v>0</v>
      </c>
      <c r="C92" s="345" cm="1">
        <f t="array" aca="1" ref="C92" ca="1">INDIRECT($F92&amp;C$90&amp;"!"&amp;$G92)</f>
        <v>0</v>
      </c>
      <c r="D92" s="345" cm="1">
        <f t="array" aca="1" ref="D92" ca="1">INDIRECT($F92&amp;D$90&amp;"!"&amp;$G92)</f>
        <v>0</v>
      </c>
      <c r="E92" s="340">
        <f>VLOOKUP(A92,A92:D92,$K$1+1,FALSE)</f>
        <v>0</v>
      </c>
      <c r="F92" s="339" t="str">
        <f ca="1">LEFT(H92,FIND("1",H92)-1)</f>
        <v>HP_</v>
      </c>
      <c r="G92" s="339" t="str">
        <f ca="1">RIGHT(H92,LEN(H92)-FIND("!",H92))</f>
        <v>B3</v>
      </c>
      <c r="H92" s="339" t="str">
        <f ca="1">SUBSTITUTE( _xlfn.FORMULATEXT(B92),"=","")</f>
        <v>HP_1!B3</v>
      </c>
    </row>
    <row r="93" spans="1:14" ht="48">
      <c r="A93" s="338" t="str">
        <f>HP_1!A4</f>
        <v>Heat Loss Watts</v>
      </c>
      <c r="B93" s="343" t="str">
        <f>HP_1!B4</f>
        <v>Please complete DEAPEntries tab</v>
      </c>
      <c r="C93" s="345" t="str" cm="1">
        <f t="array" aca="1" ref="C93" ca="1">INDIRECT($F93&amp;C$90&amp;"!"&amp;$G93)</f>
        <v>Please complete DEAPEntries tab</v>
      </c>
      <c r="D93" s="345" t="str" cm="1">
        <f t="array" aca="1" ref="D93" ca="1">INDIRECT($F93&amp;D$90&amp;"!"&amp;$G93)</f>
        <v>Please complete DEAPEntries tab</v>
      </c>
      <c r="E93" s="340" t="str">
        <f t="shared" ref="E93:E118" si="2">VLOOKUP(A93,A93:D93,$K$1+1,FALSE)</f>
        <v>Please complete DEAPEntries tab</v>
      </c>
      <c r="F93" s="339" t="str">
        <f t="shared" ref="F93:F118" ca="1" si="3">LEFT(H93,FIND("1",H93)-1)</f>
        <v>HP_</v>
      </c>
      <c r="G93" s="339" t="str">
        <f t="shared" ref="G93:G118" ca="1" si="4">RIGHT(H93,LEN(H93)-FIND("!",H93))</f>
        <v>B4</v>
      </c>
      <c r="H93" s="339" t="str">
        <f t="shared" ref="H93:H118" ca="1" si="5">SUBSTITUTE( _xlfn.FORMULATEXT(B93),"=","")</f>
        <v>HP_1!B4</v>
      </c>
    </row>
    <row r="94" spans="1:14" ht="24">
      <c r="A94" s="338" t="str">
        <f>HP_1!A5</f>
        <v>Is this Heat Pump part of a Group Heating Scheme</v>
      </c>
      <c r="B94" s="343" t="str">
        <f>HP_1!B5</f>
        <v>No</v>
      </c>
      <c r="C94" s="345" t="str" cm="1">
        <f t="array" aca="1" ref="C94" ca="1">INDIRECT($F94&amp;C$90&amp;"!"&amp;$G94)</f>
        <v>No</v>
      </c>
      <c r="D94" s="345" t="str" cm="1">
        <f t="array" aca="1" ref="D94" ca="1">INDIRECT($F94&amp;D$90&amp;"!"&amp;$G94)</f>
        <v>No</v>
      </c>
      <c r="E94" s="341" t="str">
        <f t="shared" si="2"/>
        <v>No</v>
      </c>
      <c r="F94" s="339" t="str">
        <f t="shared" ca="1" si="3"/>
        <v>HP_</v>
      </c>
      <c r="G94" s="339" t="str">
        <f t="shared" ca="1" si="4"/>
        <v>B5</v>
      </c>
      <c r="H94" s="339" t="str">
        <f t="shared" ca="1" si="5"/>
        <v>HP_1!B5</v>
      </c>
    </row>
    <row r="95" spans="1:14" ht="24">
      <c r="A95" s="338" t="str">
        <f>HP_1!A6</f>
        <v>Proportion of main space heating provided by this heat pump</v>
      </c>
      <c r="B95" s="343">
        <f>HP_1!B6</f>
        <v>0</v>
      </c>
      <c r="C95" s="345" cm="1">
        <f t="array" aca="1" ref="C95" ca="1">INDIRECT($F95&amp;C$90&amp;"!"&amp;$G95)</f>
        <v>0</v>
      </c>
      <c r="D95" s="345" cm="1">
        <f t="array" aca="1" ref="D95" ca="1">INDIRECT($F95&amp;D$90&amp;"!"&amp;$G95)</f>
        <v>0</v>
      </c>
      <c r="E95" s="342">
        <f t="shared" si="2"/>
        <v>0</v>
      </c>
      <c r="F95" s="339" t="str">
        <f t="shared" ca="1" si="3"/>
        <v>HP_</v>
      </c>
      <c r="G95" s="339" t="str">
        <f t="shared" ca="1" si="4"/>
        <v>B6</v>
      </c>
      <c r="H95" s="339" t="str">
        <f t="shared" ca="1" si="5"/>
        <v>HP_1!B6</v>
      </c>
    </row>
    <row r="96" spans="1:14">
      <c r="A96" s="338" t="str">
        <f>HP_1!A7</f>
        <v>Floor Area of Dwelling</v>
      </c>
      <c r="B96" s="343">
        <f>HP_1!B7</f>
        <v>0</v>
      </c>
      <c r="C96" s="345" cm="1">
        <f t="array" aca="1" ref="C96" ca="1">INDIRECT($F96&amp;C$90&amp;"!"&amp;$G96)</f>
        <v>0</v>
      </c>
      <c r="D96" s="345" cm="1">
        <f t="array" aca="1" ref="D96" ca="1">INDIRECT($F96&amp;D$90&amp;"!"&amp;$G96)</f>
        <v>0</v>
      </c>
      <c r="E96" s="341">
        <f t="shared" si="2"/>
        <v>0</v>
      </c>
      <c r="F96" s="339" t="str">
        <f t="shared" ca="1" si="3"/>
        <v>HP_</v>
      </c>
      <c r="G96" s="339" t="str">
        <f t="shared" ca="1" si="4"/>
        <v>B7</v>
      </c>
      <c r="H96" s="339" t="str">
        <f t="shared" ca="1" si="5"/>
        <v>HP_1!B7</v>
      </c>
    </row>
    <row r="97" spans="1:8" ht="36">
      <c r="A97" s="338" t="str">
        <f>HP_1!A8</f>
        <v>If Heat Pump serves a Group Heat Scheme, the total Floor Area served by Heat Pump is:</v>
      </c>
      <c r="B97" s="343">
        <f>HP_1!B8</f>
        <v>0</v>
      </c>
      <c r="C97" s="345" cm="1">
        <f t="array" aca="1" ref="C97" ca="1">INDIRECT($F97&amp;C$90&amp;"!"&amp;$G97)</f>
        <v>0</v>
      </c>
      <c r="D97" s="345" cm="1">
        <f t="array" aca="1" ref="D97" ca="1">INDIRECT($F97&amp;D$90&amp;"!"&amp;$G97)</f>
        <v>0</v>
      </c>
      <c r="E97" s="341">
        <f t="shared" si="2"/>
        <v>0</v>
      </c>
      <c r="F97" s="339" t="str">
        <f t="shared" ca="1" si="3"/>
        <v>HP_</v>
      </c>
      <c r="G97" s="339" t="str">
        <f t="shared" ca="1" si="4"/>
        <v>B8</v>
      </c>
      <c r="H97" s="339" t="str">
        <f t="shared" ca="1" si="5"/>
        <v>HP_1!B8</v>
      </c>
    </row>
    <row r="98" spans="1:8" ht="24">
      <c r="A98" s="338" t="str">
        <f>HP_1!A12</f>
        <v>Type of heat pump</v>
      </c>
      <c r="B98" s="343" t="str">
        <f>HP_1!B12</f>
        <v>Air to Water</v>
      </c>
      <c r="C98" s="345" t="str" cm="1">
        <f t="array" aca="1" ref="C98" ca="1">INDIRECT($F98&amp;C$90&amp;"!"&amp;$G98)</f>
        <v>Air to Water</v>
      </c>
      <c r="D98" s="345" t="str" cm="1">
        <f t="array" aca="1" ref="D98" ca="1">INDIRECT($F98&amp;D$90&amp;"!"&amp;$G98)</f>
        <v>Air to Water</v>
      </c>
      <c r="E98" s="341" t="str">
        <f t="shared" si="2"/>
        <v>Air to Water</v>
      </c>
      <c r="F98" s="339" t="str">
        <f t="shared" ca="1" si="3"/>
        <v>HP_</v>
      </c>
      <c r="G98" s="339" t="str">
        <f t="shared" ca="1" si="4"/>
        <v>B12</v>
      </c>
      <c r="H98" s="339" t="str">
        <f t="shared" ca="1" si="5"/>
        <v>HP_1!B12</v>
      </c>
    </row>
    <row r="99" spans="1:8" ht="36">
      <c r="A99" s="338" t="str">
        <f>HP_1!A13</f>
        <v>Temperature Control 
(refered to as Capacity Control in Ecodesign Standard Template)</v>
      </c>
      <c r="B99" s="343" t="str">
        <f>HP_1!B13</f>
        <v>Fixed Outlet</v>
      </c>
      <c r="C99" s="345" t="str" cm="1">
        <f t="array" aca="1" ref="C99" ca="1">INDIRECT($F99&amp;C$90&amp;"!"&amp;$G99)</f>
        <v>Fixed Outlet</v>
      </c>
      <c r="D99" s="345" t="str" cm="1">
        <f t="array" aca="1" ref="D99" ca="1">INDIRECT($F99&amp;D$90&amp;"!"&amp;$G99)</f>
        <v>Fixed Outlet</v>
      </c>
      <c r="E99" s="341" t="str">
        <f t="shared" si="2"/>
        <v>Fixed Outlet</v>
      </c>
      <c r="F99" s="339" t="str">
        <f t="shared" ca="1" si="3"/>
        <v>HP_</v>
      </c>
      <c r="G99" s="339" t="str">
        <f t="shared" ca="1" si="4"/>
        <v>B13</v>
      </c>
      <c r="H99" s="339" t="str">
        <f t="shared" ca="1" si="5"/>
        <v>HP_1!B13</v>
      </c>
    </row>
    <row r="100" spans="1:8" ht="24">
      <c r="A100" s="338" t="str">
        <f>HP_1!A14</f>
        <v>Space Heating Test Standard</v>
      </c>
      <c r="B100" s="346" t="str">
        <f>HP_1!B14</f>
        <v>I.S. EN 14825</v>
      </c>
      <c r="C100" s="345" t="str" cm="1">
        <f t="array" aca="1" ref="C100" ca="1">INDIRECT($F100&amp;C$90&amp;"!"&amp;$G100)</f>
        <v>I.S. EN 14825</v>
      </c>
      <c r="D100" s="345" t="str" cm="1">
        <f t="array" aca="1" ref="D100" ca="1">INDIRECT($F100&amp;D$90&amp;"!"&amp;$G100)</f>
        <v>I.S. EN 14825</v>
      </c>
      <c r="E100" s="341" t="str">
        <f t="shared" si="2"/>
        <v>I.S. EN 14825</v>
      </c>
      <c r="F100" s="339" t="str">
        <f t="shared" ca="1" si="3"/>
        <v>HP_</v>
      </c>
      <c r="G100" s="339" t="str">
        <f t="shared" ca="1" si="4"/>
        <v>B14</v>
      </c>
      <c r="H100" s="339" t="str">
        <f t="shared" ca="1" si="5"/>
        <v>HP_1!B14</v>
      </c>
    </row>
    <row r="101" spans="1:8">
      <c r="A101" s="338" t="str">
        <f>HP_1!A15</f>
        <v>Operation Limit Temperature (TOL)</v>
      </c>
      <c r="B101" s="347" t="str">
        <f>HP_1!B15</f>
        <v xml:space="preserve"> </v>
      </c>
      <c r="C101" s="345" cm="1">
        <f t="array" aca="1" ref="C101" ca="1">INDIRECT($F101&amp;C$90&amp;"!"&amp;$G101)</f>
        <v>0</v>
      </c>
      <c r="D101" s="345" cm="1">
        <f t="array" aca="1" ref="D101" ca="1">INDIRECT($F101&amp;D$90&amp;"!"&amp;$G101)</f>
        <v>0</v>
      </c>
      <c r="E101" s="341" t="str">
        <f t="shared" si="2"/>
        <v xml:space="preserve"> </v>
      </c>
      <c r="F101" s="339" t="str">
        <f t="shared" ca="1" si="3"/>
        <v>HP_</v>
      </c>
      <c r="G101" s="339" t="str">
        <f t="shared" ca="1" si="4"/>
        <v>B15</v>
      </c>
      <c r="H101" s="339" t="str">
        <f t="shared" ca="1" si="5"/>
        <v>HP_1!B15</v>
      </c>
    </row>
    <row r="102" spans="1:8" ht="24">
      <c r="A102" s="338" t="str">
        <f>HP_1!A16</f>
        <v>Heating water operating limit temperature (WTOL)</v>
      </c>
      <c r="B102" s="347" t="str">
        <f>HP_1!B16</f>
        <v xml:space="preserve"> </v>
      </c>
      <c r="C102" s="345" cm="1">
        <f t="array" aca="1" ref="C102" ca="1">INDIRECT($F102&amp;C$90&amp;"!"&amp;$G102)</f>
        <v>0</v>
      </c>
      <c r="D102" s="345" cm="1">
        <f t="array" aca="1" ref="D102" ca="1">INDIRECT($F102&amp;D$90&amp;"!"&amp;$G102)</f>
        <v>0</v>
      </c>
      <c r="E102" s="341" t="str">
        <f t="shared" si="2"/>
        <v xml:space="preserve"> </v>
      </c>
      <c r="F102" s="339" t="str">
        <f t="shared" ca="1" si="3"/>
        <v>HP_</v>
      </c>
      <c r="G102" s="339" t="str">
        <f t="shared" ca="1" si="4"/>
        <v>B16</v>
      </c>
      <c r="H102" s="339" t="str">
        <f t="shared" ca="1" si="5"/>
        <v>HP_1!B16</v>
      </c>
    </row>
    <row r="103" spans="1:8" ht="24">
      <c r="A103" s="338" t="str">
        <f>HP_1!A17</f>
        <v>Annual space heating provided by Heat Pump</v>
      </c>
      <c r="B103" s="346">
        <f>HP_1!B17</f>
        <v>0</v>
      </c>
      <c r="C103" s="345" cm="1">
        <f t="array" aca="1" ref="C103" ca="1">INDIRECT($F103&amp;C$90&amp;"!"&amp;$G103)</f>
        <v>0</v>
      </c>
      <c r="D103" s="345" cm="1">
        <f t="array" aca="1" ref="D103" ca="1">INDIRECT($F103&amp;D$90&amp;"!"&amp;$G103)</f>
        <v>0</v>
      </c>
      <c r="E103" s="340">
        <f t="shared" si="2"/>
        <v>0</v>
      </c>
      <c r="F103" s="339" t="str">
        <f t="shared" ca="1" si="3"/>
        <v>HP_</v>
      </c>
      <c r="G103" s="339" t="str">
        <f t="shared" ca="1" si="4"/>
        <v>B17</v>
      </c>
      <c r="H103" s="339" t="str">
        <f t="shared" ca="1" si="5"/>
        <v>HP_1!B17</v>
      </c>
    </row>
    <row r="104" spans="1:8">
      <c r="A104" s="338" t="str">
        <f>HP_1!A18</f>
        <v>Design Outdoor Temperature</v>
      </c>
      <c r="B104" s="343">
        <f>HP_1!B18</f>
        <v>-3</v>
      </c>
      <c r="C104" s="345" cm="1">
        <f t="array" aca="1" ref="C104" ca="1">INDIRECT($F104&amp;C$90&amp;"!"&amp;$G104)</f>
        <v>-3</v>
      </c>
      <c r="D104" s="345" cm="1">
        <f t="array" aca="1" ref="D104" ca="1">INDIRECT($F104&amp;D$90&amp;"!"&amp;$G104)</f>
        <v>-3</v>
      </c>
      <c r="E104" s="341">
        <f t="shared" si="2"/>
        <v>-3</v>
      </c>
      <c r="F104" s="339" t="str">
        <f t="shared" ca="1" si="3"/>
        <v>HP_</v>
      </c>
      <c r="G104" s="339" t="str">
        <f t="shared" ca="1" si="4"/>
        <v>B18</v>
      </c>
      <c r="H104" s="339" t="str">
        <f t="shared" ca="1" si="5"/>
        <v>HP_1!B18</v>
      </c>
    </row>
    <row r="105" spans="1:8" ht="60">
      <c r="A105" s="338" t="str">
        <f>HP_1!A19</f>
        <v>Indoor Design Temperature (Mean Internal Temperature)</v>
      </c>
      <c r="B105" s="348" t="str">
        <f>HP_1!B19</f>
        <v>Please complete DEAP Entries tab</v>
      </c>
      <c r="C105" s="345" t="str" cm="1">
        <f t="array" aca="1" ref="C105" ca="1">INDIRECT($F105&amp;C$90&amp;"!"&amp;$G105)</f>
        <v>Please complete DEAP Entries tab</v>
      </c>
      <c r="D105" s="345" t="str" cm="1">
        <f t="array" aca="1" ref="D105" ca="1">INDIRECT($F105&amp;D$90&amp;"!"&amp;$G105)</f>
        <v>Please complete DEAP Entries tab</v>
      </c>
      <c r="E105" s="341" t="str">
        <f t="shared" si="2"/>
        <v>Please complete DEAP Entries tab</v>
      </c>
      <c r="F105" s="339" t="str">
        <f t="shared" ca="1" si="3"/>
        <v>HP_</v>
      </c>
      <c r="G105" s="339" t="str">
        <f t="shared" ca="1" si="4"/>
        <v>B19</v>
      </c>
      <c r="H105" s="339" t="str">
        <f t="shared" ca="1" si="5"/>
        <v>HP_1!B19</v>
      </c>
    </row>
    <row r="106" spans="1:8">
      <c r="A106" s="338" t="str">
        <f>HP_1!A24</f>
        <v>Air used as Emitter (to Air Units)</v>
      </c>
      <c r="B106" s="343" t="str">
        <f>HP_1!B24</f>
        <v>No</v>
      </c>
      <c r="C106" s="345" t="str" cm="1">
        <f t="array" aca="1" ref="C106" ca="1">INDIRECT($F106&amp;C$90&amp;"!"&amp;$G106)</f>
        <v>No</v>
      </c>
      <c r="D106" s="345" t="str" cm="1">
        <f t="array" aca="1" ref="D106" ca="1">INDIRECT($F106&amp;D$90&amp;"!"&amp;$G106)</f>
        <v>No</v>
      </c>
      <c r="E106" s="341" t="str">
        <f t="shared" si="2"/>
        <v>No</v>
      </c>
      <c r="F106" s="339" t="str">
        <f t="shared" ca="1" si="3"/>
        <v>HP_</v>
      </c>
      <c r="G106" s="339" t="str">
        <f t="shared" ca="1" si="4"/>
        <v>B24</v>
      </c>
      <c r="H106" s="339" t="str">
        <f t="shared" ca="1" si="5"/>
        <v>HP_1!B24</v>
      </c>
    </row>
    <row r="107" spans="1:8" ht="36">
      <c r="A107" s="338" t="str">
        <f>HP_1!A25</f>
        <v>Design Flow Temperature
Use "Default Supply Temperature" unless other evidence available</v>
      </c>
      <c r="B107" s="343">
        <f>HP_1!B25</f>
        <v>0</v>
      </c>
      <c r="C107" s="345" cm="1">
        <f t="array" aca="1" ref="C107" ca="1">INDIRECT($F107&amp;C$90&amp;"!"&amp;$G107)</f>
        <v>0</v>
      </c>
      <c r="D107" s="345" cm="1">
        <f t="array" aca="1" ref="D107" ca="1">INDIRECT($F107&amp;D$90&amp;"!"&amp;$G107)</f>
        <v>0</v>
      </c>
      <c r="E107" s="341">
        <f t="shared" si="2"/>
        <v>0</v>
      </c>
      <c r="F107" s="339" t="str">
        <f t="shared" ca="1" si="3"/>
        <v>HP_</v>
      </c>
      <c r="G107" s="339" t="str">
        <f t="shared" ca="1" si="4"/>
        <v>B25</v>
      </c>
      <c r="H107" s="339" t="str">
        <f t="shared" ca="1" si="5"/>
        <v>HP_1!B25</v>
      </c>
    </row>
    <row r="108" spans="1:8" ht="24">
      <c r="A108" s="338" t="str">
        <f>HP_1!A26</f>
        <v>Exponent n, characterising type of emission system</v>
      </c>
      <c r="B108" s="343">
        <f>HP_1!B26</f>
        <v>1.2</v>
      </c>
      <c r="C108" s="345" cm="1">
        <f t="array" aca="1" ref="C108" ca="1">INDIRECT($F108&amp;C$90&amp;"!"&amp;$G108)</f>
        <v>1.2</v>
      </c>
      <c r="D108" s="345" cm="1">
        <f t="array" aca="1" ref="D108" ca="1">INDIRECT($F108&amp;D$90&amp;"!"&amp;$G108)</f>
        <v>1.2</v>
      </c>
      <c r="E108" s="341">
        <f t="shared" si="2"/>
        <v>1.2</v>
      </c>
      <c r="F108" s="339" t="str">
        <f t="shared" ca="1" si="3"/>
        <v>HP_</v>
      </c>
      <c r="G108" s="339" t="str">
        <f t="shared" ca="1" si="4"/>
        <v>B26</v>
      </c>
      <c r="H108" s="339" t="str">
        <f t="shared" ca="1" si="5"/>
        <v>HP_1!B26</v>
      </c>
    </row>
    <row r="109" spans="1:8">
      <c r="A109" s="338" t="str">
        <f>HP_1!A27</f>
        <v>Emitter Temperature Drop</v>
      </c>
      <c r="B109" s="343">
        <f>HP_1!B27</f>
        <v>10</v>
      </c>
      <c r="C109" s="345" cm="1">
        <f t="array" aca="1" ref="C109" ca="1">INDIRECT($F109&amp;C$90&amp;"!"&amp;$G109)</f>
        <v>10</v>
      </c>
      <c r="D109" s="345" cm="1">
        <f t="array" aca="1" ref="D109" ca="1">INDIRECT($F109&amp;D$90&amp;"!"&amp;$G109)</f>
        <v>10</v>
      </c>
      <c r="E109" s="341">
        <f t="shared" si="2"/>
        <v>10</v>
      </c>
      <c r="F109" s="339" t="str">
        <f t="shared" ca="1" si="3"/>
        <v>HP_</v>
      </c>
      <c r="G109" s="339" t="str">
        <f t="shared" ca="1" si="4"/>
        <v>B27</v>
      </c>
      <c r="H109" s="339" t="str">
        <f t="shared" ca="1" si="5"/>
        <v>HP_1!B27</v>
      </c>
    </row>
    <row r="110" spans="1:8">
      <c r="A110" s="338" t="str">
        <f>HP_1!A28</f>
        <v>Return Temperature at design conditions</v>
      </c>
      <c r="B110" s="343">
        <f>HP_1!B28</f>
        <v>-10</v>
      </c>
      <c r="C110" s="345" cm="1">
        <f t="array" aca="1" ref="C110" ca="1">INDIRECT($F110&amp;C$90&amp;"!"&amp;$G110)</f>
        <v>-10</v>
      </c>
      <c r="D110" s="345" cm="1">
        <f t="array" aca="1" ref="D110" ca="1">INDIRECT($F110&amp;D$90&amp;"!"&amp;$G110)</f>
        <v>-10</v>
      </c>
      <c r="E110" s="341">
        <f t="shared" si="2"/>
        <v>-10</v>
      </c>
      <c r="F110" s="339" t="str">
        <f t="shared" ca="1" si="3"/>
        <v>HP_</v>
      </c>
      <c r="G110" s="339" t="str">
        <f t="shared" ca="1" si="4"/>
        <v>B28</v>
      </c>
      <c r="H110" s="339" t="str">
        <f t="shared" ca="1" si="5"/>
        <v>HP_1!B28</v>
      </c>
    </row>
    <row r="111" spans="1:8">
      <c r="A111" s="338" t="str">
        <f>HP_1!A29</f>
        <v>No of Hrs per Day Heat Pump in Operation</v>
      </c>
      <c r="B111" s="347">
        <f>HP_1!B29</f>
        <v>8</v>
      </c>
      <c r="C111" s="345" cm="1">
        <f t="array" aca="1" ref="C111" ca="1">INDIRECT($F111&amp;C$90&amp;"!"&amp;$G111)</f>
        <v>8</v>
      </c>
      <c r="D111" s="345" cm="1">
        <f t="array" aca="1" ref="D111" ca="1">INDIRECT($F111&amp;D$90&amp;"!"&amp;$G111)</f>
        <v>8</v>
      </c>
      <c r="E111" s="341">
        <f t="shared" si="2"/>
        <v>8</v>
      </c>
      <c r="F111" s="339" t="str">
        <f t="shared" ca="1" si="3"/>
        <v>HP_</v>
      </c>
      <c r="G111" s="339" t="str">
        <f t="shared" ca="1" si="4"/>
        <v>B29</v>
      </c>
      <c r="H111" s="339" t="str">
        <f t="shared" ca="1" si="5"/>
        <v>HP_1!B29</v>
      </c>
    </row>
    <row r="112" spans="1:8">
      <c r="A112" s="338" t="str">
        <f>HP_1!A30</f>
        <v>Cut-out hours</v>
      </c>
      <c r="B112" s="343">
        <f>HP_1!B30</f>
        <v>16</v>
      </c>
      <c r="C112" s="345" cm="1">
        <f t="array" aca="1" ref="C112" ca="1">INDIRECT($F112&amp;C$90&amp;"!"&amp;$G112)</f>
        <v>16</v>
      </c>
      <c r="D112" s="345" cm="1">
        <f t="array" aca="1" ref="D112" ca="1">INDIRECT($F112&amp;D$90&amp;"!"&amp;$G112)</f>
        <v>16</v>
      </c>
      <c r="E112" s="341">
        <f t="shared" si="2"/>
        <v>16</v>
      </c>
      <c r="F112" s="339" t="str">
        <f t="shared" ca="1" si="3"/>
        <v>HP_</v>
      </c>
      <c r="G112" s="339" t="str">
        <f t="shared" ca="1" si="4"/>
        <v>B30</v>
      </c>
      <c r="H112" s="339" t="str">
        <f t="shared" ca="1" si="5"/>
        <v>HP_1!B30</v>
      </c>
    </row>
    <row r="113" spans="1:8">
      <c r="A113" s="338" t="str">
        <f>HP_1!A31</f>
        <v>Heat pump fuel primary energy factor</v>
      </c>
      <c r="B113" s="343">
        <f>HP_1!B31</f>
        <v>2.08</v>
      </c>
      <c r="C113" s="345" cm="1">
        <f t="array" aca="1" ref="C113" ca="1">INDIRECT($F113&amp;C$90&amp;"!"&amp;$G113)</f>
        <v>2.08</v>
      </c>
      <c r="D113" s="345" cm="1">
        <f t="array" aca="1" ref="D113" ca="1">INDIRECT($F113&amp;D$90&amp;"!"&amp;$G113)</f>
        <v>2.08</v>
      </c>
      <c r="E113" s="341">
        <f t="shared" si="2"/>
        <v>2.08</v>
      </c>
      <c r="F113" s="339" t="str">
        <f t="shared" ca="1" si="3"/>
        <v>HP_</v>
      </c>
      <c r="G113" s="339" t="str">
        <f t="shared" ca="1" si="4"/>
        <v>B31</v>
      </c>
      <c r="H113" s="339" t="str">
        <f t="shared" ca="1" si="5"/>
        <v>HP_1!B31</v>
      </c>
    </row>
    <row r="114" spans="1:8" ht="24">
      <c r="A114" s="338" t="str">
        <f>HP_1!A32</f>
        <v>Is a Back Up Space Heater Present within Dwelling</v>
      </c>
      <c r="B114" s="343" t="str">
        <f>HP_1!B32</f>
        <v>No</v>
      </c>
      <c r="C114" s="345" t="str" cm="1">
        <f t="array" aca="1" ref="C114" ca="1">INDIRECT($F114&amp;C$90&amp;"!"&amp;$G114)</f>
        <v>No</v>
      </c>
      <c r="D114" s="345" t="str" cm="1">
        <f t="array" aca="1" ref="D114" ca="1">INDIRECT($F114&amp;D$90&amp;"!"&amp;$G114)</f>
        <v>No</v>
      </c>
      <c r="E114" s="341" t="str">
        <f t="shared" si="2"/>
        <v>No</v>
      </c>
      <c r="F114" s="339" t="str">
        <f t="shared" ca="1" si="3"/>
        <v>HP_</v>
      </c>
      <c r="G114" s="339" t="str">
        <f t="shared" ca="1" si="4"/>
        <v>B32</v>
      </c>
      <c r="H114" s="339" t="str">
        <f t="shared" ca="1" si="5"/>
        <v>HP_1!B32</v>
      </c>
    </row>
    <row r="115" spans="1:8">
      <c r="A115" s="338" t="str">
        <f>HP_1!A33</f>
        <v>Back Up Space Heater Fuel</v>
      </c>
      <c r="B115" s="343" t="str">
        <f>HP_1!B33</f>
        <v>Electricity</v>
      </c>
      <c r="C115" s="345" t="str" cm="1">
        <f t="array" aca="1" ref="C115" ca="1">INDIRECT($F115&amp;C$90&amp;"!"&amp;$G115)</f>
        <v>Electricity</v>
      </c>
      <c r="D115" s="345" t="str" cm="1">
        <f t="array" aca="1" ref="D115" ca="1">INDIRECT($F115&amp;D$90&amp;"!"&amp;$G115)</f>
        <v>Electricity</v>
      </c>
      <c r="E115" s="341" t="str">
        <f t="shared" si="2"/>
        <v>Electricity</v>
      </c>
      <c r="F115" s="339" t="str">
        <f t="shared" ca="1" si="3"/>
        <v>HP_</v>
      </c>
      <c r="G115" s="339" t="str">
        <f t="shared" ca="1" si="4"/>
        <v>B33</v>
      </c>
      <c r="H115" s="339" t="str">
        <f t="shared" ca="1" si="5"/>
        <v>HP_1!B33</v>
      </c>
    </row>
    <row r="116" spans="1:8" ht="24">
      <c r="A116" s="338" t="str">
        <f>HP_1!A34</f>
        <v>Primary Energy Factor for Back Up Space Heater</v>
      </c>
      <c r="B116" s="343">
        <f>HP_1!B34</f>
        <v>2.08</v>
      </c>
      <c r="C116" s="345" cm="1">
        <f t="array" aca="1" ref="C116" ca="1">INDIRECT($F116&amp;C$90&amp;"!"&amp;$G116)</f>
        <v>2.08</v>
      </c>
      <c r="D116" s="345" cm="1">
        <f t="array" aca="1" ref="D116" ca="1">INDIRECT($F116&amp;D$90&amp;"!"&amp;$G116)</f>
        <v>2.08</v>
      </c>
      <c r="E116" s="341">
        <f t="shared" si="2"/>
        <v>2.08</v>
      </c>
      <c r="F116" s="339" t="str">
        <f t="shared" ca="1" si="3"/>
        <v>HP_</v>
      </c>
      <c r="G116" s="339" t="str">
        <f t="shared" ca="1" si="4"/>
        <v>B34</v>
      </c>
      <c r="H116" s="339" t="str">
        <f t="shared" ca="1" si="5"/>
        <v>HP_1!B34</v>
      </c>
    </row>
    <row r="117" spans="1:8">
      <c r="A117" s="338" t="str">
        <f>HP_1!A35</f>
        <v>Efficiency of Back up Space Heater</v>
      </c>
      <c r="B117" s="343">
        <f>HP_1!B35</f>
        <v>0</v>
      </c>
      <c r="C117" s="345" cm="1">
        <f t="array" aca="1" ref="C117" ca="1">INDIRECT($F117&amp;C$90&amp;"!"&amp;$G117)</f>
        <v>0</v>
      </c>
      <c r="D117" s="345" cm="1">
        <f t="array" aca="1" ref="D117" ca="1">INDIRECT($F117&amp;D$90&amp;"!"&amp;$G117)</f>
        <v>0</v>
      </c>
      <c r="E117" s="341">
        <f t="shared" si="2"/>
        <v>0</v>
      </c>
      <c r="F117" s="339" t="str">
        <f t="shared" ca="1" si="3"/>
        <v>HP_</v>
      </c>
      <c r="G117" s="339" t="str">
        <f t="shared" ca="1" si="4"/>
        <v>B35</v>
      </c>
      <c r="H117" s="339" t="str">
        <f t="shared" ca="1" si="5"/>
        <v>HP_1!B35</v>
      </c>
    </row>
    <row r="118" spans="1:8" ht="24">
      <c r="A118" s="338" t="str">
        <f>HP_1!A36</f>
        <v>Adjusted Efficiency of Back up Space Heater relative to fuel used for heat pump</v>
      </c>
      <c r="B118" s="349">
        <f>HP_1!B36</f>
        <v>1</v>
      </c>
      <c r="C118" s="345" cm="1">
        <f t="array" aca="1" ref="C118" ca="1">INDIRECT($F118&amp;C$90&amp;"!"&amp;$G118)</f>
        <v>1</v>
      </c>
      <c r="D118" s="345" cm="1">
        <f t="array" aca="1" ref="D118" ca="1">INDIRECT($F118&amp;D$90&amp;"!"&amp;$G118)</f>
        <v>1</v>
      </c>
      <c r="E118" s="342">
        <f t="shared" si="2"/>
        <v>1</v>
      </c>
      <c r="F118" s="339" t="str">
        <f t="shared" ca="1" si="3"/>
        <v>HP_</v>
      </c>
      <c r="G118" s="339" t="str">
        <f t="shared" ca="1" si="4"/>
        <v>B36</v>
      </c>
      <c r="H118" s="339" t="str">
        <f t="shared" ca="1" si="5"/>
        <v>HP_1!B36</v>
      </c>
    </row>
    <row r="119" spans="1:8" ht="24">
      <c r="A119" s="338" t="str">
        <f>HP_1!A65</f>
        <v>Type of heat pump</v>
      </c>
      <c r="B119" s="349" t="str">
        <f>HP_1!B65</f>
        <v>Air to Water</v>
      </c>
      <c r="C119" s="345" t="str" cm="1">
        <f t="array" aca="1" ref="C119" ca="1">INDIRECT($F119&amp;C$90&amp;"!"&amp;$G119)</f>
        <v>Air to Water</v>
      </c>
      <c r="D119" s="345" t="str" cm="1">
        <f t="array" aca="1" ref="D119" ca="1">INDIRECT($F119&amp;D$90&amp;"!"&amp;$G119)</f>
        <v>Air to Water</v>
      </c>
      <c r="E119" s="342" t="str">
        <f t="shared" ref="E119:E147" si="6">VLOOKUP(A119,A119:D119,$K$1+1,FALSE)</f>
        <v>Air to Water</v>
      </c>
      <c r="F119" s="339" t="str">
        <f t="shared" ref="F119:F147" ca="1" si="7">LEFT(H119,FIND("1",H119)-1)</f>
        <v>HP_</v>
      </c>
      <c r="G119" s="339" t="str">
        <f t="shared" ref="G119:G147" ca="1" si="8">RIGHT(H119,LEN(H119)-FIND("!",H119))</f>
        <v>B65</v>
      </c>
      <c r="H119" s="339" t="str">
        <f t="shared" ref="H119:H147" ca="1" si="9">SUBSTITUTE( _xlfn.FORMULATEXT(B119),"=","")</f>
        <v>HP_1!B65</v>
      </c>
    </row>
    <row r="120" spans="1:8" ht="36">
      <c r="A120" s="338" t="str">
        <f>HP_1!A66</f>
        <v>Temperature Control 
(refered to as Capacity Control in Ecodesign Standard Template)</v>
      </c>
      <c r="B120" s="349" t="str">
        <f>HP_1!B66</f>
        <v>Fixed Outlet</v>
      </c>
      <c r="C120" s="345" t="str" cm="1">
        <f t="array" aca="1" ref="C120" ca="1">INDIRECT($F120&amp;C$90&amp;"!"&amp;$G120)</f>
        <v>Fixed Outlet</v>
      </c>
      <c r="D120" s="345" t="str" cm="1">
        <f t="array" aca="1" ref="D120" ca="1">INDIRECT($F120&amp;D$90&amp;"!"&amp;$G120)</f>
        <v>Fixed Outlet</v>
      </c>
      <c r="E120" s="342" t="str">
        <f t="shared" si="6"/>
        <v>Fixed Outlet</v>
      </c>
      <c r="F120" s="339" t="str">
        <f t="shared" ca="1" si="7"/>
        <v>HP_</v>
      </c>
      <c r="G120" s="339" t="str">
        <f t="shared" ca="1" si="8"/>
        <v>B66</v>
      </c>
      <c r="H120" s="339" t="str">
        <f t="shared" ca="1" si="9"/>
        <v>HP_1!B66</v>
      </c>
    </row>
    <row r="121" spans="1:8" ht="108">
      <c r="A121" s="338" t="str">
        <f>HP_1!A67</f>
        <v>Describe the water heating heat pump arrangement</v>
      </c>
      <c r="B121" s="349" t="str">
        <f>HP_1!B67</f>
        <v>Same Heat Pump providing Space Heating and Domestic Hot Water</v>
      </c>
      <c r="C121" s="345" t="str" cm="1">
        <f t="array" aca="1" ref="C121" ca="1">INDIRECT($F121&amp;C$90&amp;"!"&amp;$G121)</f>
        <v>Same Heat Pump providing Space Heating and Domestic Hot Water</v>
      </c>
      <c r="D121" s="345" t="str" cm="1">
        <f t="array" aca="1" ref="D121" ca="1">INDIRECT($F121&amp;D$90&amp;"!"&amp;$G121)</f>
        <v>Same Heat Pump providing Space Heating and Domestic Hot Water</v>
      </c>
      <c r="E121" s="342" t="str">
        <f t="shared" si="6"/>
        <v>Same Heat Pump providing Space Heating and Domestic Hot Water</v>
      </c>
      <c r="F121" s="339" t="str">
        <f t="shared" ca="1" si="7"/>
        <v>HP_</v>
      </c>
      <c r="G121" s="339" t="str">
        <f t="shared" ca="1" si="8"/>
        <v>B67</v>
      </c>
      <c r="H121" s="339" t="str">
        <f t="shared" ca="1" si="9"/>
        <v>HP_1!B67</v>
      </c>
    </row>
    <row r="122" spans="1:8" ht="24">
      <c r="A122" s="338" t="str">
        <f>HP_1!A68</f>
        <v>Water Heating Test Standard</v>
      </c>
      <c r="B122" s="349" t="str">
        <f>HP_1!B68</f>
        <v>I.S. EN 16147</v>
      </c>
      <c r="C122" s="345" t="str" cm="1">
        <f t="array" aca="1" ref="C122" ca="1">INDIRECT($F122&amp;C$90&amp;"!"&amp;$G122)</f>
        <v>I.S. EN 16147</v>
      </c>
      <c r="D122" s="345" t="str" cm="1">
        <f t="array" aca="1" ref="D122" ca="1">INDIRECT($F122&amp;D$90&amp;"!"&amp;$G122)</f>
        <v>I.S. EN 16147</v>
      </c>
      <c r="E122" s="342" t="str">
        <f t="shared" si="6"/>
        <v>I.S. EN 16147</v>
      </c>
      <c r="F122" s="339" t="str">
        <f t="shared" ca="1" si="7"/>
        <v>HP_</v>
      </c>
      <c r="G122" s="339" t="str">
        <f t="shared" ca="1" si="8"/>
        <v>B68</v>
      </c>
      <c r="H122" s="339" t="str">
        <f t="shared" ca="1" si="9"/>
        <v>HP_1!B68</v>
      </c>
    </row>
    <row r="123" spans="1:8">
      <c r="A123" s="338" t="str">
        <f>HP_1!A69</f>
        <v>Output from Main Water Heater</v>
      </c>
      <c r="B123" s="350">
        <f>HP_1!B69</f>
        <v>0</v>
      </c>
      <c r="C123" s="345" cm="1">
        <f t="array" aca="1" ref="C123" ca="1">INDIRECT($F123&amp;C$90&amp;"!"&amp;$G123)</f>
        <v>0</v>
      </c>
      <c r="D123" s="345" cm="1">
        <f t="array" aca="1" ref="D123" ca="1">INDIRECT($F123&amp;D$90&amp;"!"&amp;$G123)</f>
        <v>0</v>
      </c>
      <c r="E123" s="344">
        <f t="shared" si="6"/>
        <v>0</v>
      </c>
      <c r="F123" s="339" t="str">
        <f t="shared" ca="1" si="7"/>
        <v>HP_</v>
      </c>
      <c r="G123" s="339" t="str">
        <f t="shared" ca="1" si="8"/>
        <v>B69</v>
      </c>
      <c r="H123" s="339" t="str">
        <f t="shared" ca="1" si="9"/>
        <v>HP_1!B69</v>
      </c>
    </row>
    <row r="124" spans="1:8" ht="36">
      <c r="A124" s="338" t="str">
        <f>HP_1!A70</f>
        <v>Type of DHW</v>
      </c>
      <c r="B124" s="350" t="str">
        <f>HP_1!B70</f>
        <v>Separate Hot Water Storage</v>
      </c>
      <c r="C124" s="345" t="str" cm="1">
        <f t="array" aca="1" ref="C124" ca="1">INDIRECT($F124&amp;C$90&amp;"!"&amp;$G124)</f>
        <v>Separate Hot Water Storage</v>
      </c>
      <c r="D124" s="345" t="str" cm="1">
        <f t="array" aca="1" ref="D124" ca="1">INDIRECT($F124&amp;D$90&amp;"!"&amp;$G124)</f>
        <v>Separate Hot Water Storage</v>
      </c>
      <c r="E124" s="342" t="str">
        <f t="shared" si="6"/>
        <v>Separate Hot Water Storage</v>
      </c>
      <c r="F124" s="339" t="str">
        <f t="shared" ca="1" si="7"/>
        <v>HP_</v>
      </c>
      <c r="G124" s="339" t="str">
        <f t="shared" ca="1" si="8"/>
        <v>B70</v>
      </c>
      <c r="H124" s="339" t="str">
        <f t="shared" ca="1" si="9"/>
        <v>HP_1!B70</v>
      </c>
    </row>
    <row r="125" spans="1:8">
      <c r="A125" s="338" t="str">
        <f>HP_1!A71</f>
        <v>Cold Water Inlet Temperature</v>
      </c>
      <c r="B125" s="350">
        <f>HP_1!B71</f>
        <v>10</v>
      </c>
      <c r="C125" s="345" cm="1">
        <f t="array" aca="1" ref="C125" ca="1">INDIRECT($F125&amp;C$90&amp;"!"&amp;$G125)</f>
        <v>10</v>
      </c>
      <c r="D125" s="345" cm="1">
        <f t="array" aca="1" ref="D125" ca="1">INDIRECT($F125&amp;D$90&amp;"!"&amp;$G125)</f>
        <v>10</v>
      </c>
      <c r="E125" s="344">
        <f t="shared" si="6"/>
        <v>10</v>
      </c>
      <c r="F125" s="339" t="str">
        <f t="shared" ca="1" si="7"/>
        <v>HP_</v>
      </c>
      <c r="G125" s="339" t="str">
        <f t="shared" ca="1" si="8"/>
        <v>B71</v>
      </c>
      <c r="H125" s="339" t="str">
        <f t="shared" ca="1" si="9"/>
        <v>HP_1!B71</v>
      </c>
    </row>
    <row r="126" spans="1:8" ht="24">
      <c r="A126" s="338" t="str">
        <f>HP_1!A72</f>
        <v>Required Flow Temperature from Heat Pump to Hot Water Storage</v>
      </c>
      <c r="B126" s="350">
        <f>HP_1!B72</f>
        <v>65</v>
      </c>
      <c r="C126" s="345" cm="1">
        <f t="array" aca="1" ref="C126" ca="1">INDIRECT($F126&amp;C$90&amp;"!"&amp;$G126)</f>
        <v>65</v>
      </c>
      <c r="D126" s="345" cm="1">
        <f t="array" aca="1" ref="D126" ca="1">INDIRECT($F126&amp;D$90&amp;"!"&amp;$G126)</f>
        <v>65</v>
      </c>
      <c r="E126" s="344">
        <f t="shared" si="6"/>
        <v>65</v>
      </c>
      <c r="F126" s="339" t="str">
        <f t="shared" ca="1" si="7"/>
        <v>HP_</v>
      </c>
      <c r="G126" s="339" t="str">
        <f t="shared" ca="1" si="8"/>
        <v>B72</v>
      </c>
      <c r="H126" s="339" t="str">
        <f t="shared" ca="1" si="9"/>
        <v>HP_1!B72</v>
      </c>
    </row>
    <row r="127" spans="1:8">
      <c r="A127" s="338" t="str">
        <f>HP_1!A73</f>
        <v>Volume of DHW Storage</v>
      </c>
      <c r="B127" s="350">
        <f>HP_1!B73</f>
        <v>0</v>
      </c>
      <c r="C127" s="345" cm="1">
        <f t="array" aca="1" ref="C127" ca="1">INDIRECT($F127&amp;C$90&amp;"!"&amp;$G127)</f>
        <v>0</v>
      </c>
      <c r="D127" s="345" cm="1">
        <f t="array" aca="1" ref="D127" ca="1">INDIRECT($F127&amp;D$90&amp;"!"&amp;$G127)</f>
        <v>0</v>
      </c>
      <c r="E127" s="344">
        <f t="shared" si="6"/>
        <v>0</v>
      </c>
      <c r="F127" s="339" t="str">
        <f t="shared" ca="1" si="7"/>
        <v>HP_</v>
      </c>
      <c r="G127" s="339" t="str">
        <f t="shared" ca="1" si="8"/>
        <v>B73</v>
      </c>
      <c r="H127" s="339" t="str">
        <f t="shared" ca="1" si="9"/>
        <v>HP_1!B73</v>
      </c>
    </row>
    <row r="128" spans="1:8" ht="24">
      <c r="A128" s="338" t="str">
        <f>HP_1!A74</f>
        <v>Is there a water heater installed as back up for the heat pump</v>
      </c>
      <c r="B128" s="350" t="str">
        <f>HP_1!B74</f>
        <v>No</v>
      </c>
      <c r="C128" s="345" t="str" cm="1">
        <f t="array" aca="1" ref="C128" ca="1">INDIRECT($F128&amp;C$90&amp;"!"&amp;$G128)</f>
        <v>No</v>
      </c>
      <c r="D128" s="345" t="str" cm="1">
        <f t="array" aca="1" ref="D128" ca="1">INDIRECT($F128&amp;D$90&amp;"!"&amp;$G128)</f>
        <v>No</v>
      </c>
      <c r="E128" s="342" t="str">
        <f t="shared" si="6"/>
        <v>No</v>
      </c>
      <c r="F128" s="339" t="str">
        <f t="shared" ca="1" si="7"/>
        <v>HP_</v>
      </c>
      <c r="G128" s="339" t="str">
        <f t="shared" ca="1" si="8"/>
        <v>B74</v>
      </c>
      <c r="H128" s="339" t="str">
        <f t="shared" ca="1" si="9"/>
        <v>HP_1!B74</v>
      </c>
    </row>
    <row r="129" spans="1:8">
      <c r="A129" s="338" t="str">
        <f>HP_1!A75</f>
        <v>Back Up Water Heater Fuel</v>
      </c>
      <c r="B129" s="350" t="str">
        <f>HP_1!B75</f>
        <v>Electricity</v>
      </c>
      <c r="C129" s="345" t="str" cm="1">
        <f t="array" aca="1" ref="C129" ca="1">INDIRECT($F129&amp;C$90&amp;"!"&amp;$G129)</f>
        <v>Electricity</v>
      </c>
      <c r="D129" s="345" t="str" cm="1">
        <f t="array" aca="1" ref="D129" ca="1">INDIRECT($F129&amp;D$90&amp;"!"&amp;$G129)</f>
        <v>Electricity</v>
      </c>
      <c r="E129" s="342" t="str">
        <f t="shared" si="6"/>
        <v>Electricity</v>
      </c>
      <c r="F129" s="339" t="str">
        <f t="shared" ca="1" si="7"/>
        <v>HP_</v>
      </c>
      <c r="G129" s="339" t="str">
        <f t="shared" ca="1" si="8"/>
        <v>B75</v>
      </c>
      <c r="H129" s="339" t="str">
        <f t="shared" ca="1" si="9"/>
        <v>HP_1!B75</v>
      </c>
    </row>
    <row r="130" spans="1:8" ht="24">
      <c r="A130" s="338" t="str">
        <f>HP_1!A76</f>
        <v>Primary Energy Factor for Back Up Water Heater</v>
      </c>
      <c r="B130" s="350">
        <f>HP_1!B76</f>
        <v>2.08</v>
      </c>
      <c r="C130" s="345" cm="1">
        <f t="array" aca="1" ref="C130" ca="1">INDIRECT($F130&amp;C$90&amp;"!"&amp;$G130)</f>
        <v>2.08</v>
      </c>
      <c r="D130" s="345" cm="1">
        <f t="array" aca="1" ref="D130" ca="1">INDIRECT($F130&amp;D$90&amp;"!"&amp;$G130)</f>
        <v>2.08</v>
      </c>
      <c r="E130" s="344">
        <f t="shared" si="6"/>
        <v>2.08</v>
      </c>
      <c r="F130" s="339" t="str">
        <f t="shared" ca="1" si="7"/>
        <v>HP_</v>
      </c>
      <c r="G130" s="339" t="str">
        <f t="shared" ca="1" si="8"/>
        <v>B76</v>
      </c>
      <c r="H130" s="339" t="str">
        <f t="shared" ca="1" si="9"/>
        <v>HP_1!B76</v>
      </c>
    </row>
    <row r="131" spans="1:8">
      <c r="A131" s="338" t="str">
        <f>HP_1!A77</f>
        <v>Efficiency of Back up Water Heater</v>
      </c>
      <c r="B131" s="350">
        <f>HP_1!B77</f>
        <v>0</v>
      </c>
      <c r="C131" s="345" cm="1">
        <f t="array" aca="1" ref="C131" ca="1">INDIRECT($F131&amp;C$90&amp;"!"&amp;$G131)</f>
        <v>0</v>
      </c>
      <c r="D131" s="345" cm="1">
        <f t="array" aca="1" ref="D131" ca="1">INDIRECT($F131&amp;D$90&amp;"!"&amp;$G131)</f>
        <v>0</v>
      </c>
      <c r="E131" s="342">
        <f t="shared" si="6"/>
        <v>0</v>
      </c>
      <c r="F131" s="339" t="str">
        <f t="shared" ca="1" si="7"/>
        <v>HP_</v>
      </c>
      <c r="G131" s="339" t="str">
        <f t="shared" ca="1" si="8"/>
        <v>B77</v>
      </c>
      <c r="H131" s="339" t="str">
        <f t="shared" ca="1" si="9"/>
        <v>HP_1!B77</v>
      </c>
    </row>
    <row r="132" spans="1:8" ht="24">
      <c r="A132" s="338" t="str">
        <f>HP_1!A78</f>
        <v>Adjusted Efficiency of Back up Water Heater relative to fuel used by heat pump</v>
      </c>
      <c r="B132" s="350">
        <f>HP_1!B78</f>
        <v>1</v>
      </c>
      <c r="C132" s="345" cm="1">
        <f t="array" aca="1" ref="C132" ca="1">INDIRECT($F132&amp;C$90&amp;"!"&amp;$G132)</f>
        <v>1</v>
      </c>
      <c r="D132" s="345" cm="1">
        <f t="array" aca="1" ref="D132" ca="1">INDIRECT($F132&amp;D$90&amp;"!"&amp;$G132)</f>
        <v>1</v>
      </c>
      <c r="E132" s="342">
        <f t="shared" si="6"/>
        <v>1</v>
      </c>
      <c r="F132" s="339" t="str">
        <f t="shared" ca="1" si="7"/>
        <v>HP_</v>
      </c>
      <c r="G132" s="339" t="str">
        <f t="shared" ca="1" si="8"/>
        <v>B78</v>
      </c>
      <c r="H132" s="339" t="str">
        <f t="shared" ca="1" si="9"/>
        <v>HP_1!B78</v>
      </c>
    </row>
    <row r="133" spans="1:8" ht="60">
      <c r="A133" s="338" t="str">
        <f>HP_1!A81</f>
        <v>Source of data</v>
      </c>
      <c r="B133" s="350" t="str">
        <f>HP_1!B81</f>
        <v>Water heating energy efficiency, ηwh</v>
      </c>
      <c r="C133" s="345" t="str" cm="1">
        <f t="array" aca="1" ref="C133" ca="1">INDIRECT($F133&amp;C$90&amp;"!"&amp;$G133)</f>
        <v>Water heating energy efficiency, ηwh</v>
      </c>
      <c r="D133" s="345" t="str" cm="1">
        <f t="array" aca="1" ref="D133" ca="1">INDIRECT($F133&amp;D$90&amp;"!"&amp;$G133)</f>
        <v>Water heating energy efficiency, ηwh</v>
      </c>
      <c r="E133" s="342" t="str">
        <f t="shared" si="6"/>
        <v>Water heating energy efficiency, ηwh</v>
      </c>
      <c r="F133" s="339" t="str">
        <f t="shared" ca="1" si="7"/>
        <v>HP_</v>
      </c>
      <c r="G133" s="339" t="str">
        <f t="shared" ca="1" si="8"/>
        <v>B81</v>
      </c>
      <c r="H133" s="339" t="str">
        <f t="shared" ca="1" si="9"/>
        <v>HP_1!B81</v>
      </c>
    </row>
    <row r="134" spans="1:8">
      <c r="A134" s="338" t="str">
        <f>HP_1!A82</f>
        <v>Water heating energy efficiency, ηwh</v>
      </c>
      <c r="B134" s="350">
        <f>HP_1!B82</f>
        <v>0</v>
      </c>
      <c r="C134" s="345" cm="1">
        <f t="array" aca="1" ref="C134" ca="1">INDIRECT($F134&amp;C$90&amp;"!"&amp;$G134)</f>
        <v>0</v>
      </c>
      <c r="D134" s="345" cm="1">
        <f t="array" aca="1" ref="D134" ca="1">INDIRECT($F134&amp;D$90&amp;"!"&amp;$G134)</f>
        <v>0</v>
      </c>
      <c r="E134" s="344">
        <f t="shared" si="6"/>
        <v>0</v>
      </c>
      <c r="F134" s="339" t="str">
        <f t="shared" ca="1" si="7"/>
        <v>HP_</v>
      </c>
      <c r="G134" s="339" t="str">
        <f t="shared" ca="1" si="8"/>
        <v>B82</v>
      </c>
      <c r="H134" s="339" t="str">
        <f t="shared" ca="1" si="9"/>
        <v>HP_1!B82</v>
      </c>
    </row>
    <row r="135" spans="1:8">
      <c r="A135" s="338" t="str">
        <f>HP_1!A83</f>
        <v xml:space="preserve">Equivalent Coefficient of Performance </v>
      </c>
      <c r="B135" s="350">
        <f>HP_1!B83</f>
        <v>0</v>
      </c>
      <c r="C135" s="345" cm="1">
        <f t="array" aca="1" ref="C135" ca="1">INDIRECT($F135&amp;C$90&amp;"!"&amp;$G135)</f>
        <v>0</v>
      </c>
      <c r="D135" s="345" cm="1">
        <f t="array" aca="1" ref="D135" ca="1">INDIRECT($F135&amp;D$90&amp;"!"&amp;$G135)</f>
        <v>0</v>
      </c>
      <c r="E135" s="344">
        <f t="shared" si="6"/>
        <v>0</v>
      </c>
      <c r="F135" s="339" t="str">
        <f t="shared" ca="1" si="7"/>
        <v>HP_</v>
      </c>
      <c r="G135" s="339" t="str">
        <f t="shared" ca="1" si="8"/>
        <v>B83</v>
      </c>
      <c r="H135" s="339" t="str">
        <f t="shared" ca="1" si="9"/>
        <v>HP_1!B83</v>
      </c>
    </row>
    <row r="136" spans="1:8">
      <c r="A136" s="338" t="str">
        <f>HP_1!A84</f>
        <v>Reference Hot Water Temperature</v>
      </c>
      <c r="B136" s="350" t="str">
        <f>HP_1!B84</f>
        <v xml:space="preserve"> </v>
      </c>
      <c r="C136" s="345" cm="1">
        <f t="array" aca="1" ref="C136" ca="1">INDIRECT($F136&amp;C$90&amp;"!"&amp;$G136)</f>
        <v>0</v>
      </c>
      <c r="D136" s="345" cm="1">
        <f t="array" aca="1" ref="D136" ca="1">INDIRECT($F136&amp;D$90&amp;"!"&amp;$G136)</f>
        <v>0</v>
      </c>
      <c r="E136" s="344" t="str">
        <f t="shared" si="6"/>
        <v xml:space="preserve"> </v>
      </c>
      <c r="F136" s="339" t="str">
        <f t="shared" ca="1" si="7"/>
        <v>HP_</v>
      </c>
      <c r="G136" s="339" t="str">
        <f t="shared" ca="1" si="8"/>
        <v>B84</v>
      </c>
      <c r="H136" s="339" t="str">
        <f t="shared" ca="1" si="9"/>
        <v>HP_1!B84</v>
      </c>
    </row>
    <row r="137" spans="1:8">
      <c r="A137" s="338" t="str">
        <f>HP_1!A85</f>
        <v>Required Source Temperature</v>
      </c>
      <c r="B137" s="350">
        <f>HP_1!B85</f>
        <v>7</v>
      </c>
      <c r="C137" s="345" cm="1">
        <f t="array" aca="1" ref="C137" ca="1">INDIRECT($F137&amp;C$90&amp;"!"&amp;$G137)</f>
        <v>7</v>
      </c>
      <c r="D137" s="345" cm="1">
        <f t="array" aca="1" ref="D137" ca="1">INDIRECT($F137&amp;D$90&amp;"!"&amp;$G137)</f>
        <v>7</v>
      </c>
      <c r="E137" s="344">
        <f t="shared" si="6"/>
        <v>7</v>
      </c>
      <c r="F137" s="339" t="str">
        <f t="shared" ca="1" si="7"/>
        <v>HP_</v>
      </c>
      <c r="G137" s="339" t="str">
        <f t="shared" ca="1" si="8"/>
        <v>B85</v>
      </c>
      <c r="H137" s="339" t="str">
        <f t="shared" ca="1" si="9"/>
        <v>HP_1!B85</v>
      </c>
    </row>
    <row r="138" spans="1:8">
      <c r="A138" s="338" t="str">
        <f>HP_1!A86</f>
        <v>Capacity of Heat Pump</v>
      </c>
      <c r="B138" s="350">
        <f>HP_1!B86</f>
        <v>0</v>
      </c>
      <c r="C138" s="345" cm="1">
        <f t="array" aca="1" ref="C138" ca="1">INDIRECT($F138&amp;C$90&amp;"!"&amp;$G138)</f>
        <v>0</v>
      </c>
      <c r="D138" s="345" cm="1">
        <f t="array" aca="1" ref="D138" ca="1">INDIRECT($F138&amp;D$90&amp;"!"&amp;$G138)</f>
        <v>0</v>
      </c>
      <c r="E138" s="344">
        <f t="shared" si="6"/>
        <v>0</v>
      </c>
      <c r="F138" s="339" t="str">
        <f t="shared" ca="1" si="7"/>
        <v>HP_</v>
      </c>
      <c r="G138" s="339" t="str">
        <f t="shared" ca="1" si="8"/>
        <v>B86</v>
      </c>
      <c r="H138" s="339" t="str">
        <f t="shared" ca="1" si="9"/>
        <v>HP_1!B86</v>
      </c>
    </row>
    <row r="139" spans="1:8">
      <c r="A139" s="338" t="str">
        <f>HP_1!A87</f>
        <v>Declared Load Profile</v>
      </c>
      <c r="B139" s="350" t="str">
        <f>HP_1!B87</f>
        <v>M</v>
      </c>
      <c r="C139" s="345" t="str" cm="1">
        <f t="array" aca="1" ref="C139" ca="1">INDIRECT($F139&amp;C$90&amp;"!"&amp;$G139)</f>
        <v>M</v>
      </c>
      <c r="D139" s="345" t="str" cm="1">
        <f t="array" aca="1" ref="D139" ca="1">INDIRECT($F139&amp;D$90&amp;"!"&amp;$G139)</f>
        <v>M</v>
      </c>
      <c r="E139" s="342" t="str">
        <f t="shared" si="6"/>
        <v>M</v>
      </c>
      <c r="F139" s="339" t="str">
        <f t="shared" ca="1" si="7"/>
        <v>HP_</v>
      </c>
      <c r="G139" s="339" t="str">
        <f t="shared" ca="1" si="8"/>
        <v>B87</v>
      </c>
      <c r="H139" s="339" t="str">
        <f t="shared" ca="1" si="9"/>
        <v>HP_1!B87</v>
      </c>
    </row>
    <row r="140" spans="1:8">
      <c r="A140" s="338" t="str">
        <f>HP_1!A88</f>
        <v>Standby Heat Loss</v>
      </c>
      <c r="B140" s="350">
        <f>HP_1!B88</f>
        <v>0</v>
      </c>
      <c r="C140" s="345" cm="1">
        <f t="array" aca="1" ref="C140" ca="1">INDIRECT($F140&amp;C$90&amp;"!"&amp;$G140)</f>
        <v>0</v>
      </c>
      <c r="D140" s="345" cm="1">
        <f t="array" aca="1" ref="D140" ca="1">INDIRECT($F140&amp;D$90&amp;"!"&amp;$G140)</f>
        <v>0</v>
      </c>
      <c r="E140" s="344">
        <f t="shared" si="6"/>
        <v>0</v>
      </c>
      <c r="F140" s="339" t="str">
        <f t="shared" ca="1" si="7"/>
        <v>HP_</v>
      </c>
      <c r="G140" s="339" t="str">
        <f t="shared" ca="1" si="8"/>
        <v>B88</v>
      </c>
      <c r="H140" s="339" t="str">
        <f t="shared" ca="1" si="9"/>
        <v>HP_1!B88</v>
      </c>
    </row>
    <row r="141" spans="1:8">
      <c r="A141" s="338" t="str">
        <f>HP_1!A89</f>
        <v>Volume of DHW accounted for in test</v>
      </c>
      <c r="B141" s="350">
        <f>HP_1!B89</f>
        <v>0</v>
      </c>
      <c r="C141" s="345" cm="1">
        <f t="array" aca="1" ref="C141" ca="1">INDIRECT($F141&amp;C$90&amp;"!"&amp;$G141)</f>
        <v>0</v>
      </c>
      <c r="D141" s="345" cm="1">
        <f t="array" aca="1" ref="D141" ca="1">INDIRECT($F141&amp;D$90&amp;"!"&amp;$G141)</f>
        <v>0</v>
      </c>
      <c r="E141" s="344">
        <f t="shared" si="6"/>
        <v>0</v>
      </c>
      <c r="F141" s="339" t="str">
        <f t="shared" ca="1" si="7"/>
        <v>HP_</v>
      </c>
      <c r="G141" s="339" t="str">
        <f t="shared" ca="1" si="8"/>
        <v>B89</v>
      </c>
      <c r="H141" s="339" t="str">
        <f t="shared" ca="1" si="9"/>
        <v>HP_1!B89</v>
      </c>
    </row>
    <row r="142" spans="1:8">
      <c r="A142" s="338" t="str">
        <f>HP_1!A92</f>
        <v>Is the Heat Pump Listed on HARP</v>
      </c>
      <c r="B142" s="350" t="str">
        <f>HP_1!B92</f>
        <v>Yes</v>
      </c>
      <c r="C142" s="345" t="str" cm="1">
        <f t="array" aca="1" ref="C142" ca="1">INDIRECT($F142&amp;C$90&amp;"!"&amp;$G142)</f>
        <v>Yes</v>
      </c>
      <c r="D142" s="345" t="str" cm="1">
        <f t="array" aca="1" ref="D142" ca="1">INDIRECT($F142&amp;D$90&amp;"!"&amp;$G142)</f>
        <v>Yes</v>
      </c>
      <c r="E142" s="342" t="str">
        <f t="shared" si="6"/>
        <v>Yes</v>
      </c>
      <c r="F142" s="339" t="str">
        <f t="shared" ca="1" si="7"/>
        <v>HP_</v>
      </c>
      <c r="G142" s="339" t="str">
        <f t="shared" ca="1" si="8"/>
        <v>B92</v>
      </c>
      <c r="H142" s="339" t="str">
        <f t="shared" ca="1" si="9"/>
        <v>HP_1!B92</v>
      </c>
    </row>
    <row r="143" spans="1:8" ht="24">
      <c r="A143" s="338" t="str">
        <f>HP_1!A93</f>
        <v>Enter SPF based on DEAP Methodology/ HARP</v>
      </c>
      <c r="B143" s="350">
        <f>HP_1!B93</f>
        <v>3.33</v>
      </c>
      <c r="C143" s="345" cm="1">
        <f t="array" aca="1" ref="C143" ca="1">INDIRECT($F143&amp;C$90&amp;"!"&amp;$G143)</f>
        <v>3.33</v>
      </c>
      <c r="D143" s="345" cm="1">
        <f t="array" aca="1" ref="D143" ca="1">INDIRECT($F143&amp;D$90&amp;"!"&amp;$G143)</f>
        <v>3.33</v>
      </c>
      <c r="E143" s="344">
        <f t="shared" si="6"/>
        <v>3.33</v>
      </c>
      <c r="F143" s="339" t="str">
        <f t="shared" ca="1" si="7"/>
        <v>HP_</v>
      </c>
      <c r="G143" s="339" t="str">
        <f t="shared" ca="1" si="8"/>
        <v>B93</v>
      </c>
      <c r="H143" s="339" t="str">
        <f t="shared" ca="1" si="9"/>
        <v>HP_1!B93</v>
      </c>
    </row>
    <row r="144" spans="1:8" ht="24">
      <c r="A144" s="338" t="str">
        <f>HP_1!A94</f>
        <v>Is there load or weather compensation present?</v>
      </c>
      <c r="B144" s="350" t="str">
        <f>HP_1!B94</f>
        <v>Yes</v>
      </c>
      <c r="C144" s="345" t="str" cm="1">
        <f t="array" aca="1" ref="C144" ca="1">INDIRECT($F144&amp;C$90&amp;"!"&amp;$G144)</f>
        <v>Yes</v>
      </c>
      <c r="D144" s="345" t="str" cm="1">
        <f t="array" aca="1" ref="D144" ca="1">INDIRECT($F144&amp;D$90&amp;"!"&amp;$G144)</f>
        <v>Yes</v>
      </c>
      <c r="E144" s="342" t="str">
        <f t="shared" si="6"/>
        <v>Yes</v>
      </c>
      <c r="F144" s="339" t="str">
        <f t="shared" ca="1" si="7"/>
        <v>HP_</v>
      </c>
      <c r="G144" s="339" t="str">
        <f t="shared" ca="1" si="8"/>
        <v>B94</v>
      </c>
      <c r="H144" s="339" t="str">
        <f t="shared" ca="1" si="9"/>
        <v>HP_1!B94</v>
      </c>
    </row>
    <row r="145" spans="1:8" ht="24">
      <c r="A145" s="338" t="str">
        <f>HP_1!A95</f>
        <v>Does the heat pump have an Integral Immersion</v>
      </c>
      <c r="B145" s="350" t="str">
        <f>HP_1!B95</f>
        <v>No</v>
      </c>
      <c r="C145" s="345" t="str" cm="1">
        <f t="array" aca="1" ref="C145" ca="1">INDIRECT($F145&amp;C$90&amp;"!"&amp;$G145)</f>
        <v>No</v>
      </c>
      <c r="D145" s="345" t="str" cm="1">
        <f t="array" aca="1" ref="D145" ca="1">INDIRECT($F145&amp;D$90&amp;"!"&amp;$G145)</f>
        <v>No</v>
      </c>
      <c r="E145" s="342" t="str">
        <f t="shared" si="6"/>
        <v>No</v>
      </c>
      <c r="F145" s="339" t="str">
        <f t="shared" ca="1" si="7"/>
        <v>HP_</v>
      </c>
      <c r="G145" s="339" t="str">
        <f t="shared" ca="1" si="8"/>
        <v>B95</v>
      </c>
      <c r="H145" s="339" t="str">
        <f t="shared" ca="1" si="9"/>
        <v>HP_1!B95</v>
      </c>
    </row>
    <row r="146" spans="1:8" ht="24">
      <c r="A146" s="338" t="str">
        <f>HP_1!A96</f>
        <v>Does heat pump reach a flow temperature of &gt;=65oC</v>
      </c>
      <c r="B146" s="350" t="str">
        <f>HP_1!B96</f>
        <v>Yes</v>
      </c>
      <c r="C146" s="345" t="str" cm="1">
        <f t="array" aca="1" ref="C146" ca="1">INDIRECT($F146&amp;C$90&amp;"!"&amp;$G146)</f>
        <v>Yes</v>
      </c>
      <c r="D146" s="345" t="str" cm="1">
        <f t="array" aca="1" ref="D146" ca="1">INDIRECT($F146&amp;D$90&amp;"!"&amp;$G146)</f>
        <v>Yes</v>
      </c>
      <c r="E146" s="342" t="str">
        <f t="shared" si="6"/>
        <v>Yes</v>
      </c>
      <c r="F146" s="339" t="str">
        <f t="shared" ca="1" si="7"/>
        <v>HP_</v>
      </c>
      <c r="G146" s="339" t="str">
        <f t="shared" ca="1" si="8"/>
        <v>B96</v>
      </c>
      <c r="H146" s="339" t="str">
        <f t="shared" ca="1" si="9"/>
        <v>HP_1!B96</v>
      </c>
    </row>
    <row r="147" spans="1:8">
      <c r="A147" s="338" t="str">
        <f>HP_1!A100</f>
        <v>Coefficient of Performance</v>
      </c>
      <c r="B147" s="350">
        <f>HP_1!B100</f>
        <v>3.2</v>
      </c>
      <c r="C147" s="345" cm="1">
        <f t="array" aca="1" ref="C147" ca="1">INDIRECT($F147&amp;C$90&amp;"!"&amp;$G147)</f>
        <v>3.2</v>
      </c>
      <c r="D147" s="345" cm="1">
        <f t="array" aca="1" ref="D147" ca="1">INDIRECT($F147&amp;D$90&amp;"!"&amp;$G147)</f>
        <v>3.2</v>
      </c>
      <c r="E147" s="344">
        <f t="shared" si="6"/>
        <v>3.2</v>
      </c>
      <c r="F147" s="339" t="str">
        <f t="shared" ca="1" si="7"/>
        <v>HP_</v>
      </c>
      <c r="G147" s="339" t="str">
        <f t="shared" ca="1" si="8"/>
        <v>B100</v>
      </c>
      <c r="H147" s="339" t="str">
        <f t="shared" ca="1" si="9"/>
        <v>HP_1!B100</v>
      </c>
    </row>
    <row r="148" spans="1:8">
      <c r="A148" s="338" t="str">
        <f>HP_1!A101</f>
        <v>Reference Hot Water Temperature</v>
      </c>
      <c r="B148" s="350">
        <f>HP_1!B101</f>
        <v>54</v>
      </c>
      <c r="C148" s="345" cm="1">
        <f t="array" aca="1" ref="C148" ca="1">INDIRECT($F148&amp;C$90&amp;"!"&amp;$G148)</f>
        <v>54</v>
      </c>
      <c r="D148" s="345" cm="1">
        <f t="array" aca="1" ref="D148" ca="1">INDIRECT($F148&amp;D$90&amp;"!"&amp;$G148)</f>
        <v>54</v>
      </c>
      <c r="E148" s="344">
        <f t="shared" ref="E148:E176" si="10">VLOOKUP(A148,A148:D148,$K$1+1,FALSE)</f>
        <v>54</v>
      </c>
      <c r="F148" s="339" t="str">
        <f t="shared" ref="F148:F176" ca="1" si="11">LEFT(H148,FIND("1",H148)-1)</f>
        <v>HP_</v>
      </c>
      <c r="G148" s="339" t="str">
        <f t="shared" ref="G148:G176" ca="1" si="12">RIGHT(H148,LEN(H148)-FIND("!",H148))</f>
        <v>B101</v>
      </c>
      <c r="H148" s="339" t="str">
        <f t="shared" ref="H148:H176" ca="1" si="13">SUBSTITUTE( _xlfn.FORMULATEXT(B148),"=","")</f>
        <v>HP_1!B101</v>
      </c>
    </row>
    <row r="149" spans="1:8">
      <c r="A149" s="338" t="str">
        <f>HP_1!A102</f>
        <v xml:space="preserve">Heating Capacity DHW </v>
      </c>
      <c r="B149" s="350">
        <f>HP_1!B102</f>
        <v>7</v>
      </c>
      <c r="C149" s="345" cm="1">
        <f t="array" aca="1" ref="C149" ca="1">INDIRECT($F149&amp;C$90&amp;"!"&amp;$G149)</f>
        <v>7</v>
      </c>
      <c r="D149" s="345" cm="1">
        <f t="array" aca="1" ref="D149" ca="1">INDIRECT($F149&amp;D$90&amp;"!"&amp;$G149)</f>
        <v>7</v>
      </c>
      <c r="E149" s="344">
        <f t="shared" si="10"/>
        <v>7</v>
      </c>
      <c r="F149" s="339" t="str">
        <f t="shared" ca="1" si="11"/>
        <v>HP_</v>
      </c>
      <c r="G149" s="339" t="str">
        <f t="shared" ca="1" si="12"/>
        <v>B102</v>
      </c>
      <c r="H149" s="339" t="str">
        <f t="shared" ca="1" si="13"/>
        <v>HP_1!B102</v>
      </c>
    </row>
    <row r="150" spans="1:8">
      <c r="A150" s="338">
        <f>HP_1!A103</f>
        <v>0</v>
      </c>
      <c r="B150" s="350">
        <f>HP_1!B103</f>
        <v>0</v>
      </c>
      <c r="C150" s="345" cm="1">
        <f t="array" aca="1" ref="C150" ca="1">INDIRECT($F150&amp;C$90&amp;"!"&amp;$G150)</f>
        <v>0</v>
      </c>
      <c r="D150" s="345" cm="1">
        <f t="array" aca="1" ref="D150" ca="1">INDIRECT($F150&amp;D$90&amp;"!"&amp;$G150)</f>
        <v>0</v>
      </c>
      <c r="E150" s="344">
        <f t="shared" si="10"/>
        <v>0</v>
      </c>
      <c r="F150" s="339" t="str">
        <f t="shared" ca="1" si="11"/>
        <v>HP_</v>
      </c>
      <c r="G150" s="339" t="str">
        <f t="shared" ca="1" si="12"/>
        <v>B103</v>
      </c>
      <c r="H150" s="339" t="str">
        <f t="shared" ca="1" si="13"/>
        <v>HP_1!B103</v>
      </c>
    </row>
    <row r="151" spans="1:8" ht="24">
      <c r="A151" s="338" t="str">
        <f>HP_1!A104</f>
        <v>Results: See DEAP Entries tab for detail on results for use in DEAP</v>
      </c>
      <c r="B151" s="350">
        <f>HP_1!B104</f>
        <v>0</v>
      </c>
      <c r="C151" s="345" cm="1">
        <f t="array" aca="1" ref="C151" ca="1">INDIRECT($F151&amp;C$90&amp;"!"&amp;$G151)</f>
        <v>0</v>
      </c>
      <c r="D151" s="345" cm="1">
        <f t="array" aca="1" ref="D151" ca="1">INDIRECT($F151&amp;D$90&amp;"!"&amp;$G151)</f>
        <v>0</v>
      </c>
      <c r="E151" s="344">
        <f t="shared" si="10"/>
        <v>0</v>
      </c>
      <c r="F151" s="339" t="str">
        <f t="shared" ca="1" si="11"/>
        <v>HP_</v>
      </c>
      <c r="G151" s="339" t="str">
        <f t="shared" ca="1" si="12"/>
        <v>B104</v>
      </c>
      <c r="H151" s="339" t="str">
        <f t="shared" ca="1" si="13"/>
        <v>HP_1!B104</v>
      </c>
    </row>
    <row r="152" spans="1:8">
      <c r="A152" s="338" t="str">
        <f>HP_1!A105</f>
        <v>Results</v>
      </c>
      <c r="B152" s="350">
        <f>HP_1!B105</f>
        <v>0</v>
      </c>
      <c r="C152" s="345" cm="1">
        <f t="array" aca="1" ref="C152" ca="1">INDIRECT($F152&amp;C$90&amp;"!"&amp;$G152)</f>
        <v>0</v>
      </c>
      <c r="D152" s="345" cm="1">
        <f t="array" aca="1" ref="D152" ca="1">INDIRECT($F152&amp;D$90&amp;"!"&amp;$G152)</f>
        <v>0</v>
      </c>
      <c r="E152" s="344">
        <f t="shared" si="10"/>
        <v>0</v>
      </c>
      <c r="F152" s="339" t="str">
        <f t="shared" ca="1" si="11"/>
        <v>HP_</v>
      </c>
      <c r="G152" s="339" t="str">
        <f t="shared" ca="1" si="12"/>
        <v>B105</v>
      </c>
      <c r="H152" s="339" t="str">
        <f t="shared" ca="1" si="13"/>
        <v>HP_1!B105</v>
      </c>
    </row>
    <row r="153" spans="1:8">
      <c r="A153" s="338" t="str">
        <f>HP_1!A106</f>
        <v>Efficiency of Main Heating System</v>
      </c>
      <c r="B153" s="350" t="e">
        <f>HP_1!B106</f>
        <v>#VALUE!</v>
      </c>
      <c r="C153" s="345" t="e" cm="1">
        <f t="array" aca="1" ref="C153" ca="1">INDIRECT($F153&amp;C$90&amp;"!"&amp;$G153)</f>
        <v>#VALUE!</v>
      </c>
      <c r="D153" s="345" t="e" cm="1">
        <f t="array" aca="1" ref="D153" ca="1">INDIRECT($F153&amp;D$90&amp;"!"&amp;$G153)</f>
        <v>#VALUE!</v>
      </c>
      <c r="E153" s="344" t="e">
        <f t="shared" si="10"/>
        <v>#VALUE!</v>
      </c>
      <c r="F153" s="339" t="str">
        <f t="shared" ca="1" si="11"/>
        <v>HP_</v>
      </c>
      <c r="G153" s="339" t="str">
        <f t="shared" ca="1" si="12"/>
        <v>B106</v>
      </c>
      <c r="H153" s="339" t="str">
        <f t="shared" ca="1" si="13"/>
        <v>HP_1!B106</v>
      </c>
    </row>
    <row r="154" spans="1:8">
      <c r="A154" s="338" t="str">
        <f>HP_1!A107</f>
        <v>Efficiency Adjustment Factor - Main Heating</v>
      </c>
      <c r="B154" s="350">
        <f>HP_1!B107</f>
        <v>1</v>
      </c>
      <c r="C154" s="345" cm="1">
        <f t="array" aca="1" ref="C154" ca="1">INDIRECT($F154&amp;C$90&amp;"!"&amp;$G154)</f>
        <v>1</v>
      </c>
      <c r="D154" s="345" cm="1">
        <f t="array" aca="1" ref="D154" ca="1">INDIRECT($F154&amp;D$90&amp;"!"&amp;$G154)</f>
        <v>1</v>
      </c>
      <c r="E154" s="344">
        <f t="shared" si="10"/>
        <v>1</v>
      </c>
      <c r="F154" s="339" t="str">
        <f t="shared" ca="1" si="11"/>
        <v>HP_</v>
      </c>
      <c r="G154" s="339" t="str">
        <f t="shared" ca="1" si="12"/>
        <v>B107</v>
      </c>
      <c r="H154" s="339" t="str">
        <f t="shared" ca="1" si="13"/>
        <v>HP_1!B107</v>
      </c>
    </row>
    <row r="155" spans="1:8">
      <c r="A155" s="338" t="str">
        <f>HP_1!A108</f>
        <v>Efficiency of Main Hot Water System</v>
      </c>
      <c r="B155" s="350" t="e">
        <f>HP_1!B108</f>
        <v>#VALUE!</v>
      </c>
      <c r="C155" s="345" t="e" cm="1">
        <f t="array" aca="1" ref="C155" ca="1">INDIRECT($F155&amp;C$90&amp;"!"&amp;$G155)</f>
        <v>#DIV/0!</v>
      </c>
      <c r="D155" s="345" t="e" cm="1">
        <f t="array" aca="1" ref="D155" ca="1">INDIRECT($F155&amp;D$90&amp;"!"&amp;$G155)</f>
        <v>#DIV/0!</v>
      </c>
      <c r="E155" s="344" t="e">
        <f t="shared" si="10"/>
        <v>#VALUE!</v>
      </c>
      <c r="F155" s="339" t="str">
        <f t="shared" ca="1" si="11"/>
        <v>HP_</v>
      </c>
      <c r="G155" s="339" t="str">
        <f t="shared" ca="1" si="12"/>
        <v>B108</v>
      </c>
      <c r="H155" s="339" t="str">
        <f t="shared" ca="1" si="13"/>
        <v>HP_1!B108</v>
      </c>
    </row>
    <row r="156" spans="1:8" ht="24">
      <c r="A156" s="338" t="str">
        <f>HP_1!A109</f>
        <v>Efficiency Adjustment Factor - Main Hot Water</v>
      </c>
      <c r="B156" s="350">
        <f>HP_1!B109</f>
        <v>1</v>
      </c>
      <c r="C156" s="345" cm="1">
        <f t="array" aca="1" ref="C156" ca="1">INDIRECT($F156&amp;C$90&amp;"!"&amp;$G156)</f>
        <v>1</v>
      </c>
      <c r="D156" s="345" cm="1">
        <f t="array" aca="1" ref="D156" ca="1">INDIRECT($F156&amp;D$90&amp;"!"&amp;$G156)</f>
        <v>1</v>
      </c>
      <c r="E156" s="344">
        <f t="shared" si="10"/>
        <v>1</v>
      </c>
      <c r="F156" s="339" t="str">
        <f t="shared" ca="1" si="11"/>
        <v>HP_</v>
      </c>
      <c r="G156" s="339" t="str">
        <f t="shared" ca="1" si="12"/>
        <v>B109</v>
      </c>
      <c r="H156" s="339" t="str">
        <f t="shared" ca="1" si="13"/>
        <v>HP_1!B109</v>
      </c>
    </row>
    <row r="157" spans="1:8">
      <c r="A157" s="338">
        <f>HP_1!A110</f>
        <v>0</v>
      </c>
      <c r="B157" s="350">
        <f>HP_1!B110</f>
        <v>0</v>
      </c>
      <c r="C157" s="345" cm="1">
        <f t="array" aca="1" ref="C157" ca="1">INDIRECT($F157&amp;C$90&amp;"!"&amp;$G157)</f>
        <v>0</v>
      </c>
      <c r="D157" s="345" cm="1">
        <f t="array" aca="1" ref="D157" ca="1">INDIRECT($F157&amp;D$90&amp;"!"&amp;$G157)</f>
        <v>0</v>
      </c>
      <c r="E157" s="344">
        <f t="shared" si="10"/>
        <v>0</v>
      </c>
      <c r="F157" s="339" t="str">
        <f t="shared" ca="1" si="11"/>
        <v>HP_</v>
      </c>
      <c r="G157" s="339" t="str">
        <f t="shared" ca="1" si="12"/>
        <v>B110</v>
      </c>
      <c r="H157" s="339" t="str">
        <f t="shared" ca="1" si="13"/>
        <v>HP_1!B110</v>
      </c>
    </row>
    <row r="158" spans="1:8" ht="24">
      <c r="A158" s="338" t="str">
        <f>HP_1!A111</f>
        <v>% Renewable Contribution from Exhaust Heat Pump for Space Heating</v>
      </c>
      <c r="B158" s="350">
        <f>HP_1!B111</f>
        <v>1</v>
      </c>
      <c r="C158" s="345" cm="1">
        <f t="array" aca="1" ref="C158" ca="1">INDIRECT($F158&amp;C$90&amp;"!"&amp;$G158)</f>
        <v>1</v>
      </c>
      <c r="D158" s="345" cm="1">
        <f t="array" aca="1" ref="D158" ca="1">INDIRECT($F158&amp;D$90&amp;"!"&amp;$G158)</f>
        <v>1</v>
      </c>
      <c r="E158" s="344">
        <f t="shared" si="10"/>
        <v>1</v>
      </c>
      <c r="F158" s="339" t="str">
        <f t="shared" ca="1" si="11"/>
        <v>HP_</v>
      </c>
      <c r="G158" s="339" t="str">
        <f t="shared" ca="1" si="12"/>
        <v>B111</v>
      </c>
      <c r="H158" s="339" t="str">
        <f t="shared" ca="1" si="13"/>
        <v>HP_1!B111</v>
      </c>
    </row>
    <row r="159" spans="1:8" ht="24">
      <c r="A159" s="338" t="str">
        <f>HP_1!A112</f>
        <v>% Renewable Contribution from Exhaust Heat Pump for Water Heating</v>
      </c>
      <c r="B159" s="350">
        <f>HP_1!B112</f>
        <v>1</v>
      </c>
      <c r="C159" s="345" cm="1">
        <f t="array" aca="1" ref="C159" ca="1">INDIRECT($F159&amp;C$90&amp;"!"&amp;$G159)</f>
        <v>1</v>
      </c>
      <c r="D159" s="345" cm="1">
        <f t="array" aca="1" ref="D159" ca="1">INDIRECT($F159&amp;D$90&amp;"!"&amp;$G159)</f>
        <v>1</v>
      </c>
      <c r="E159" s="344">
        <f t="shared" si="10"/>
        <v>1</v>
      </c>
      <c r="F159" s="339" t="str">
        <f t="shared" ca="1" si="11"/>
        <v>HP_</v>
      </c>
      <c r="G159" s="339" t="str">
        <f t="shared" ca="1" si="12"/>
        <v>B112</v>
      </c>
      <c r="H159" s="339" t="str">
        <f t="shared" ca="1" si="13"/>
        <v>HP_1!B112</v>
      </c>
    </row>
    <row r="160" spans="1:8">
      <c r="A160" s="338">
        <f>HP_1!A113</f>
        <v>0</v>
      </c>
      <c r="B160" s="350">
        <f>HP_1!B113</f>
        <v>0</v>
      </c>
      <c r="C160" s="345" cm="1">
        <f t="array" aca="1" ref="C160" ca="1">INDIRECT($F160&amp;C$90&amp;"!"&amp;$G160)</f>
        <v>0</v>
      </c>
      <c r="D160" s="345" cm="1">
        <f t="array" aca="1" ref="D160" ca="1">INDIRECT($F160&amp;D$90&amp;"!"&amp;$G160)</f>
        <v>0</v>
      </c>
      <c r="E160" s="344">
        <f t="shared" si="10"/>
        <v>0</v>
      </c>
      <c r="F160" s="339" t="str">
        <f t="shared" ca="1" si="11"/>
        <v>HP_</v>
      </c>
      <c r="G160" s="339" t="str">
        <f t="shared" ca="1" si="12"/>
        <v>B113</v>
      </c>
      <c r="H160" s="339" t="str">
        <f t="shared" ca="1" si="13"/>
        <v>HP_1!B113</v>
      </c>
    </row>
    <row r="161" spans="1:8">
      <c r="A161" s="338">
        <f>HP_1!A114</f>
        <v>0</v>
      </c>
      <c r="B161" s="350">
        <f>HP_1!B114</f>
        <v>0</v>
      </c>
      <c r="C161" s="345" cm="1">
        <f t="array" aca="1" ref="C161" ca="1">INDIRECT($F161&amp;C$90&amp;"!"&amp;$G161)</f>
        <v>0</v>
      </c>
      <c r="D161" s="345" cm="1">
        <f t="array" aca="1" ref="D161" ca="1">INDIRECT($F161&amp;D$90&amp;"!"&amp;$G161)</f>
        <v>0</v>
      </c>
      <c r="E161" s="344">
        <f t="shared" si="10"/>
        <v>0</v>
      </c>
      <c r="F161" s="339" t="str">
        <f t="shared" ca="1" si="11"/>
        <v>HP_</v>
      </c>
      <c r="G161" s="339" t="str">
        <f t="shared" ca="1" si="12"/>
        <v>B114</v>
      </c>
      <c r="H161" s="339" t="str">
        <f t="shared" ca="1" si="13"/>
        <v>HP_1!B114</v>
      </c>
    </row>
    <row r="162" spans="1:8">
      <c r="A162" s="338" t="str">
        <f>HP_1!A115</f>
        <v>% of space heating Provided by Heat Pump</v>
      </c>
      <c r="B162" s="350" t="e">
        <f>HP_1!B115</f>
        <v>#VALUE!</v>
      </c>
      <c r="C162" s="345" t="e" cm="1">
        <f t="array" aca="1" ref="C162" ca="1">INDIRECT($F162&amp;C$90&amp;"!"&amp;$G162)</f>
        <v>#VALUE!</v>
      </c>
      <c r="D162" s="345" t="e" cm="1">
        <f t="array" aca="1" ref="D162" ca="1">INDIRECT($F162&amp;D$90&amp;"!"&amp;$G162)</f>
        <v>#VALUE!</v>
      </c>
      <c r="E162" s="344" t="e">
        <f t="shared" si="10"/>
        <v>#VALUE!</v>
      </c>
      <c r="F162" s="339" t="str">
        <f t="shared" ca="1" si="11"/>
        <v>HP_</v>
      </c>
      <c r="G162" s="339" t="str">
        <f t="shared" ca="1" si="12"/>
        <v>B115</v>
      </c>
      <c r="H162" s="339" t="str">
        <f t="shared" ca="1" si="13"/>
        <v>HP_1!B115</v>
      </c>
    </row>
    <row r="163" spans="1:8">
      <c r="A163" s="338" t="str">
        <f>HP_1!A116</f>
        <v>% of Hot Water Provided by Heat Pump</v>
      </c>
      <c r="B163" s="350" t="e">
        <f>HP_1!B116</f>
        <v>#VALUE!</v>
      </c>
      <c r="C163" s="345" cm="1">
        <f t="array" aca="1" ref="C163" ca="1">INDIRECT($F163&amp;C$90&amp;"!"&amp;$G163)</f>
        <v>-0.18181818181818188</v>
      </c>
      <c r="D163" s="345" cm="1">
        <f t="array" aca="1" ref="D163" ca="1">INDIRECT($F163&amp;D$90&amp;"!"&amp;$G163)</f>
        <v>-0.18181818181818188</v>
      </c>
      <c r="E163" s="344" t="e">
        <f t="shared" si="10"/>
        <v>#VALUE!</v>
      </c>
      <c r="F163" s="339" t="str">
        <f t="shared" ca="1" si="11"/>
        <v>HP_</v>
      </c>
      <c r="G163" s="339" t="str">
        <f t="shared" ca="1" si="12"/>
        <v>B116</v>
      </c>
      <c r="H163" s="339" t="str">
        <f t="shared" ca="1" si="13"/>
        <v>HP_1!B116</v>
      </c>
    </row>
    <row r="164" spans="1:8">
      <c r="A164" s="338">
        <f>HP_1!A117</f>
        <v>0</v>
      </c>
      <c r="B164" s="350">
        <f>HP_1!B117</f>
        <v>0</v>
      </c>
      <c r="C164" s="345" cm="1">
        <f t="array" aca="1" ref="C164" ca="1">INDIRECT($F164&amp;C$90&amp;"!"&amp;$G164)</f>
        <v>0</v>
      </c>
      <c r="D164" s="345" cm="1">
        <f t="array" aca="1" ref="D164" ca="1">INDIRECT($F164&amp;D$90&amp;"!"&amp;$G164)</f>
        <v>0</v>
      </c>
      <c r="E164" s="344">
        <f t="shared" si="10"/>
        <v>0</v>
      </c>
      <c r="F164" s="339" t="str">
        <f t="shared" ca="1" si="11"/>
        <v>HP_</v>
      </c>
      <c r="G164" s="339" t="str">
        <f t="shared" ca="1" si="12"/>
        <v>B117</v>
      </c>
      <c r="H164" s="339" t="str">
        <f t="shared" ca="1" si="13"/>
        <v>HP_1!B117</v>
      </c>
    </row>
    <row r="165" spans="1:8" ht="24">
      <c r="A165" s="338" t="str">
        <f>HP_1!A118</f>
        <v>Calculated environmental energy in this dwelling</v>
      </c>
      <c r="B165" s="350">
        <f>HP_1!B118</f>
        <v>0</v>
      </c>
      <c r="C165" s="345" cm="1">
        <f t="array" aca="1" ref="C165" ca="1">INDIRECT($F165&amp;C$90&amp;"!"&amp;$G165)</f>
        <v>0</v>
      </c>
      <c r="D165" s="345" cm="1">
        <f t="array" aca="1" ref="D165" ca="1">INDIRECT($F165&amp;D$90&amp;"!"&amp;$G165)</f>
        <v>0</v>
      </c>
      <c r="E165" s="344">
        <f t="shared" si="10"/>
        <v>0</v>
      </c>
      <c r="F165" s="339" t="str">
        <f t="shared" ca="1" si="11"/>
        <v>HP_</v>
      </c>
      <c r="G165" s="339" t="str">
        <f t="shared" ca="1" si="12"/>
        <v>B118</v>
      </c>
      <c r="H165" s="339" t="str">
        <f t="shared" ca="1" si="13"/>
        <v>HP_1!B118</v>
      </c>
    </row>
    <row r="166" spans="1:8">
      <c r="A166" s="338">
        <f>HP_1!A119</f>
        <v>0</v>
      </c>
      <c r="B166" s="350">
        <f>HP_1!B119</f>
        <v>0</v>
      </c>
      <c r="C166" s="345" cm="1">
        <f t="array" aca="1" ref="C166" ca="1">INDIRECT($F166&amp;C$90&amp;"!"&amp;$G166)</f>
        <v>0</v>
      </c>
      <c r="D166" s="345" cm="1">
        <f t="array" aca="1" ref="D166" ca="1">INDIRECT($F166&amp;D$90&amp;"!"&amp;$G166)</f>
        <v>0</v>
      </c>
      <c r="E166" s="344">
        <f t="shared" si="10"/>
        <v>0</v>
      </c>
      <c r="F166" s="339" t="str">
        <f t="shared" ca="1" si="11"/>
        <v>HP_</v>
      </c>
      <c r="G166" s="339" t="str">
        <f t="shared" ca="1" si="12"/>
        <v>B119</v>
      </c>
      <c r="H166" s="339" t="str">
        <f t="shared" ca="1" si="13"/>
        <v>HP_1!B119</v>
      </c>
    </row>
    <row r="167" spans="1:8" ht="36">
      <c r="A167" s="338" t="str">
        <f>HP_1!A120</f>
        <v>Heat pump standalone without backup (not accounting for Exhaust adjustment)</v>
      </c>
      <c r="B167" s="350" t="str">
        <f>HP_1!B120</f>
        <v>Heat Pump Efficiency</v>
      </c>
      <c r="C167" s="345" t="str" cm="1">
        <f t="array" aca="1" ref="C167" ca="1">INDIRECT($F167&amp;C$90&amp;"!"&amp;$G167)</f>
        <v>Heat Pump Efficiency</v>
      </c>
      <c r="D167" s="345" t="str" cm="1">
        <f t="array" aca="1" ref="D167" ca="1">INDIRECT($F167&amp;D$90&amp;"!"&amp;$G167)</f>
        <v>Heat Pump Efficiency</v>
      </c>
      <c r="E167" s="344" t="str">
        <f t="shared" si="10"/>
        <v>Heat Pump Efficiency</v>
      </c>
      <c r="F167" s="339" t="str">
        <f t="shared" ca="1" si="11"/>
        <v>HP_</v>
      </c>
      <c r="G167" s="339" t="str">
        <f t="shared" ca="1" si="12"/>
        <v>B120</v>
      </c>
      <c r="H167" s="339" t="str">
        <f t="shared" ca="1" si="13"/>
        <v>HP_1!B120</v>
      </c>
    </row>
    <row r="168" spans="1:8">
      <c r="A168" s="338" t="str">
        <f>HP_1!A121</f>
        <v>Space heating</v>
      </c>
      <c r="B168" s="350" t="e">
        <f>HP_1!B121</f>
        <v>#VALUE!</v>
      </c>
      <c r="C168" s="345" t="e" cm="1">
        <f t="array" aca="1" ref="C168" ca="1">INDIRECT($F168&amp;C$90&amp;"!"&amp;$G168)</f>
        <v>#VALUE!</v>
      </c>
      <c r="D168" s="345" t="e" cm="1">
        <f t="array" aca="1" ref="D168" ca="1">INDIRECT($F168&amp;D$90&amp;"!"&amp;$G168)</f>
        <v>#VALUE!</v>
      </c>
      <c r="E168" s="344" t="e">
        <f t="shared" si="10"/>
        <v>#VALUE!</v>
      </c>
      <c r="F168" s="339" t="str">
        <f t="shared" ca="1" si="11"/>
        <v>HP_</v>
      </c>
      <c r="G168" s="339" t="str">
        <f t="shared" ca="1" si="12"/>
        <v>B121</v>
      </c>
      <c r="H168" s="339" t="str">
        <f t="shared" ca="1" si="13"/>
        <v>HP_1!B121</v>
      </c>
    </row>
    <row r="169" spans="1:8">
      <c r="A169" s="338" t="str">
        <f>HP_1!A122</f>
        <v>Water heating</v>
      </c>
      <c r="B169" s="350">
        <f>HP_1!B122</f>
        <v>0</v>
      </c>
      <c r="C169" s="345" cm="1">
        <f t="array" aca="1" ref="C169" ca="1">INDIRECT($F169&amp;C$90&amp;"!"&amp;$G169)</f>
        <v>0</v>
      </c>
      <c r="D169" s="345" cm="1">
        <f t="array" aca="1" ref="D169" ca="1">INDIRECT($F169&amp;D$90&amp;"!"&amp;$G169)</f>
        <v>0</v>
      </c>
      <c r="E169" s="344">
        <f t="shared" si="10"/>
        <v>0</v>
      </c>
      <c r="F169" s="339" t="str">
        <f t="shared" ca="1" si="11"/>
        <v>HP_</v>
      </c>
      <c r="G169" s="339" t="str">
        <f t="shared" ca="1" si="12"/>
        <v>B122</v>
      </c>
      <c r="H169" s="339" t="str">
        <f t="shared" ca="1" si="13"/>
        <v>HP_1!B122</v>
      </c>
    </row>
    <row r="170" spans="1:8" ht="36">
      <c r="A170" s="338" t="str">
        <f>HP_1!A123</f>
        <v>Heat pump with backup (not accounting for Exhaust adjustment)</v>
      </c>
      <c r="B170" s="350" t="str">
        <f>HP_1!B123</f>
        <v>Heat Pump Efficiency</v>
      </c>
      <c r="C170" s="345" t="str" cm="1">
        <f t="array" aca="1" ref="C170" ca="1">INDIRECT($F170&amp;C$90&amp;"!"&amp;$G170)</f>
        <v>Heat Pump Efficiency</v>
      </c>
      <c r="D170" s="345" t="str" cm="1">
        <f t="array" aca="1" ref="D170" ca="1">INDIRECT($F170&amp;D$90&amp;"!"&amp;$G170)</f>
        <v>Heat Pump Efficiency</v>
      </c>
      <c r="E170" s="344" t="str">
        <f t="shared" si="10"/>
        <v>Heat Pump Efficiency</v>
      </c>
      <c r="F170" s="339" t="str">
        <f t="shared" ca="1" si="11"/>
        <v>HP_</v>
      </c>
      <c r="G170" s="339" t="str">
        <f t="shared" ca="1" si="12"/>
        <v>B123</v>
      </c>
      <c r="H170" s="339" t="str">
        <f t="shared" ca="1" si="13"/>
        <v>HP_1!B123</v>
      </c>
    </row>
    <row r="171" spans="1:8">
      <c r="A171" s="338" t="str">
        <f>HP_1!A124</f>
        <v>Space heating</v>
      </c>
      <c r="B171" s="350" t="e">
        <f>HP_1!B124</f>
        <v>#VALUE!</v>
      </c>
      <c r="C171" s="345" t="e" cm="1">
        <f t="array" aca="1" ref="C171" ca="1">INDIRECT($F171&amp;C$90&amp;"!"&amp;$G171)</f>
        <v>#VALUE!</v>
      </c>
      <c r="D171" s="345" t="e" cm="1">
        <f t="array" aca="1" ref="D171" ca="1">INDIRECT($F171&amp;D$90&amp;"!"&amp;$G171)</f>
        <v>#VALUE!</v>
      </c>
      <c r="E171" s="344" t="e">
        <f t="shared" si="10"/>
        <v>#VALUE!</v>
      </c>
      <c r="F171" s="339" t="str">
        <f t="shared" ca="1" si="11"/>
        <v>HP_</v>
      </c>
      <c r="G171" s="339" t="str">
        <f t="shared" ca="1" si="12"/>
        <v>B124</v>
      </c>
      <c r="H171" s="339" t="str">
        <f t="shared" ca="1" si="13"/>
        <v>HP_1!B124</v>
      </c>
    </row>
    <row r="172" spans="1:8">
      <c r="A172" s="338" t="str">
        <f>HP_1!A125</f>
        <v>Water heating</v>
      </c>
      <c r="B172" s="350" t="e">
        <f>HP_1!B125</f>
        <v>#VALUE!</v>
      </c>
      <c r="C172" s="345" t="e" cm="1">
        <f t="array" aca="1" ref="C172" ca="1">INDIRECT($F172&amp;C$90&amp;"!"&amp;$G172)</f>
        <v>#DIV/0!</v>
      </c>
      <c r="D172" s="345" t="e" cm="1">
        <f t="array" aca="1" ref="D172" ca="1">INDIRECT($F172&amp;D$90&amp;"!"&amp;$G172)</f>
        <v>#DIV/0!</v>
      </c>
      <c r="E172" s="344" t="e">
        <f t="shared" si="10"/>
        <v>#VALUE!</v>
      </c>
      <c r="F172" s="339" t="str">
        <f t="shared" ca="1" si="11"/>
        <v>HP_</v>
      </c>
      <c r="G172" s="339" t="str">
        <f t="shared" ca="1" si="12"/>
        <v>B125</v>
      </c>
      <c r="H172" s="339" t="str">
        <f t="shared" ca="1" si="13"/>
        <v>HP_1!B125</v>
      </c>
    </row>
    <row r="173" spans="1:8" ht="36">
      <c r="A173" s="338" t="str">
        <f>HP_1!A126</f>
        <v>Additional renewable contribution when discounting backup</v>
      </c>
      <c r="B173" s="350" t="str">
        <f>HP_1!B126</f>
        <v>Adjustment due to backup</v>
      </c>
      <c r="C173" s="345" t="str" cm="1">
        <f t="array" aca="1" ref="C173" ca="1">INDIRECT($F173&amp;C$90&amp;"!"&amp;$G173)</f>
        <v>Adjustment due to backup</v>
      </c>
      <c r="D173" s="345" t="str" cm="1">
        <f t="array" aca="1" ref="D173" ca="1">INDIRECT($F173&amp;D$90&amp;"!"&amp;$G173)</f>
        <v>Adjustment due to backup</v>
      </c>
      <c r="E173" s="344" t="str">
        <f t="shared" si="10"/>
        <v>Adjustment due to backup</v>
      </c>
      <c r="F173" s="339" t="str">
        <f t="shared" ca="1" si="11"/>
        <v>HP_</v>
      </c>
      <c r="G173" s="339" t="str">
        <f t="shared" ca="1" si="12"/>
        <v>B126</v>
      </c>
      <c r="H173" s="339" t="str">
        <f t="shared" ca="1" si="13"/>
        <v>HP_1!B126</v>
      </c>
    </row>
    <row r="174" spans="1:8">
      <c r="A174" s="338" t="str">
        <f>HP_1!A127</f>
        <v>Space heating</v>
      </c>
      <c r="B174" s="350" t="e">
        <f>HP_1!B127</f>
        <v>#VALUE!</v>
      </c>
      <c r="C174" s="345" t="e" cm="1">
        <f t="array" aca="1" ref="C174" ca="1">INDIRECT($F174&amp;C$90&amp;"!"&amp;$G174)</f>
        <v>#VALUE!</v>
      </c>
      <c r="D174" s="345" t="e" cm="1">
        <f t="array" aca="1" ref="D174" ca="1">INDIRECT($F174&amp;D$90&amp;"!"&amp;$G174)</f>
        <v>#VALUE!</v>
      </c>
      <c r="E174" s="344" t="e">
        <f t="shared" si="10"/>
        <v>#VALUE!</v>
      </c>
      <c r="F174" s="339" t="str">
        <f t="shared" ca="1" si="11"/>
        <v>HP_</v>
      </c>
      <c r="G174" s="339" t="str">
        <f t="shared" ca="1" si="12"/>
        <v>B127</v>
      </c>
      <c r="H174" s="339" t="str">
        <f t="shared" ca="1" si="13"/>
        <v>HP_1!B127</v>
      </c>
    </row>
    <row r="175" spans="1:8">
      <c r="A175" s="338" t="str">
        <f>HP_1!A128</f>
        <v>Water heating</v>
      </c>
      <c r="B175" s="350" t="e">
        <f>HP_1!B128</f>
        <v>#VALUE!</v>
      </c>
      <c r="C175" s="345" t="e" cm="1">
        <f t="array" aca="1" ref="C175" ca="1">INDIRECT($F175&amp;C$90&amp;"!"&amp;$G175)</f>
        <v>#DIV/0!</v>
      </c>
      <c r="D175" s="345" t="e" cm="1">
        <f t="array" aca="1" ref="D175" ca="1">INDIRECT($F175&amp;D$90&amp;"!"&amp;$G175)</f>
        <v>#DIV/0!</v>
      </c>
      <c r="E175" s="344" t="e">
        <f t="shared" si="10"/>
        <v>#VALUE!</v>
      </c>
      <c r="F175" s="339" t="str">
        <f t="shared" ca="1" si="11"/>
        <v>HP_</v>
      </c>
      <c r="G175" s="339" t="str">
        <f t="shared" ca="1" si="12"/>
        <v>B128</v>
      </c>
      <c r="H175" s="339" t="str">
        <f t="shared" ca="1" si="13"/>
        <v>HP_1!B128</v>
      </c>
    </row>
    <row r="176" spans="1:8">
      <c r="A176" s="338" t="str">
        <f>HP_1!G111</f>
        <v>Exhaust Air Flow Rate (m3/hr)</v>
      </c>
      <c r="B176" s="350">
        <f>HP_1!G112</f>
        <v>0</v>
      </c>
      <c r="C176" s="345" cm="1">
        <f t="array" aca="1" ref="C176" ca="1">INDIRECT($F176&amp;C$90&amp;"!"&amp;$G176)</f>
        <v>0</v>
      </c>
      <c r="D176" s="345" cm="1">
        <f t="array" aca="1" ref="D176" ca="1">INDIRECT($F176&amp;D$90&amp;"!"&amp;$G176)</f>
        <v>0</v>
      </c>
      <c r="E176" s="344">
        <f t="shared" si="10"/>
        <v>0</v>
      </c>
      <c r="F176" s="339" t="str">
        <f t="shared" ca="1" si="11"/>
        <v>HP_</v>
      </c>
      <c r="G176" s="339" t="str">
        <f t="shared" ca="1" si="12"/>
        <v>G112</v>
      </c>
      <c r="H176" s="339" t="str">
        <f t="shared" ca="1" si="13"/>
        <v>HP_1!G112</v>
      </c>
    </row>
    <row r="177" spans="1:8">
      <c r="A177" s="338" t="str">
        <f>HP_1!A187</f>
        <v>DEAP Entries Captured Data</v>
      </c>
      <c r="B177" s="350">
        <f>HP_1!B187</f>
        <v>0</v>
      </c>
      <c r="C177" s="345" cm="1">
        <f t="array" aca="1" ref="C177" ca="1">INDIRECT($F177&amp;C$90&amp;"!"&amp;$G177)</f>
        <v>0</v>
      </c>
      <c r="D177" s="345" cm="1">
        <f t="array" aca="1" ref="D177" ca="1">INDIRECT($F177&amp;D$90&amp;"!"&amp;$G177)</f>
        <v>0</v>
      </c>
      <c r="E177" s="344">
        <f t="shared" ref="E177:E185" si="14">VLOOKUP(A177,A177:D177,$K$1+1,FALSE)</f>
        <v>0</v>
      </c>
      <c r="F177" s="339" t="str">
        <f t="shared" ref="F177:F185" ca="1" si="15">LEFT(H177,FIND("1",H177)-1)</f>
        <v>HP_</v>
      </c>
      <c r="G177" s="339" t="str">
        <f t="shared" ref="G177:G185" ca="1" si="16">RIGHT(H177,LEN(H177)-FIND("!",H177))</f>
        <v>B187</v>
      </c>
      <c r="H177" s="339" t="str">
        <f t="shared" ref="H177:H185" ca="1" si="17">SUBSTITUTE( _xlfn.FORMULATEXT(B177),"=","")</f>
        <v>HP_1!B187</v>
      </c>
    </row>
    <row r="178" spans="1:8" ht="24">
      <c r="A178" s="338" t="str">
        <f>HP_1!A188</f>
        <v>Description:</v>
      </c>
      <c r="B178" s="350" t="str">
        <f>HP_1!B188</f>
        <v>Heat pump # 1</v>
      </c>
      <c r="C178" s="345" t="str" cm="1">
        <f t="array" aca="1" ref="C178" ca="1">INDIRECT($F178&amp;C$90&amp;"!"&amp;$G178)</f>
        <v>Heat pump # 1</v>
      </c>
      <c r="D178" s="345" t="str" cm="1">
        <f t="array" aca="1" ref="D178" ca="1">INDIRECT($F178&amp;D$90&amp;"!"&amp;$G178)</f>
        <v>Heat pump # 1</v>
      </c>
      <c r="E178" s="344" t="str">
        <f t="shared" si="14"/>
        <v>Heat pump # 1</v>
      </c>
      <c r="F178" s="339" t="str">
        <f t="shared" ca="1" si="15"/>
        <v>HP_</v>
      </c>
      <c r="G178" s="339" t="str">
        <f t="shared" ca="1" si="16"/>
        <v>B188</v>
      </c>
      <c r="H178" s="339" t="str">
        <f t="shared" ca="1" si="17"/>
        <v>HP_1!B188</v>
      </c>
    </row>
    <row r="179" spans="1:8" ht="24">
      <c r="A179" s="338" t="str">
        <f>HP_1!A189</f>
        <v>Type of space heating heat pump</v>
      </c>
      <c r="B179" s="350" t="str">
        <f>HP_1!B189</f>
        <v>Heat Pump</v>
      </c>
      <c r="C179" s="345" t="str" cm="1">
        <f t="array" aca="1" ref="C179" ca="1">INDIRECT($F179&amp;C$90&amp;"!"&amp;$G179)</f>
        <v>Heat Pump</v>
      </c>
      <c r="D179" s="345" t="str" cm="1">
        <f t="array" aca="1" ref="D179" ca="1">INDIRECT($F179&amp;D$90&amp;"!"&amp;$G179)</f>
        <v>Heat Pump</v>
      </c>
      <c r="E179" s="344" t="str">
        <f t="shared" si="14"/>
        <v>Heat Pump</v>
      </c>
      <c r="F179" s="339" t="str">
        <f t="shared" ca="1" si="15"/>
        <v>HP_</v>
      </c>
      <c r="G179" s="339" t="str">
        <f t="shared" ca="1" si="16"/>
        <v>B189</v>
      </c>
      <c r="H179" s="339" t="str">
        <f t="shared" ca="1" si="17"/>
        <v>HP_1!B189</v>
      </c>
    </row>
    <row r="180" spans="1:8" ht="24">
      <c r="A180" s="338" t="str">
        <f>HP_1!A190</f>
        <v>Type of water heating heat pump</v>
      </c>
      <c r="B180" s="350" t="str">
        <f>HP_1!B190</f>
        <v>Heat Pump</v>
      </c>
      <c r="C180" s="345" t="str" cm="1">
        <f t="array" aca="1" ref="C180" ca="1">INDIRECT($F180&amp;C$90&amp;"!"&amp;$G180)</f>
        <v>Heat Pump</v>
      </c>
      <c r="D180" s="345" t="str" cm="1">
        <f t="array" aca="1" ref="D180" ca="1">INDIRECT($F180&amp;D$90&amp;"!"&amp;$G180)</f>
        <v>Heat Pump</v>
      </c>
      <c r="E180" s="344" t="str">
        <f t="shared" si="14"/>
        <v>Heat Pump</v>
      </c>
      <c r="F180" s="339" t="str">
        <f t="shared" ca="1" si="15"/>
        <v>HP_</v>
      </c>
      <c r="G180" s="339" t="str">
        <f t="shared" ca="1" si="16"/>
        <v>B190</v>
      </c>
      <c r="H180" s="339" t="str">
        <f t="shared" ca="1" si="17"/>
        <v>HP_1!B190</v>
      </c>
    </row>
    <row r="181" spans="1:8" ht="24">
      <c r="A181" s="338" t="str">
        <f>HP_1!A191</f>
        <v xml:space="preserve">% main space heat provided by each heat pump  based on system design </v>
      </c>
      <c r="B181" s="350">
        <f>HP_1!B191</f>
        <v>0</v>
      </c>
      <c r="C181" s="345" cm="1">
        <f t="array" aca="1" ref="C181" ca="1">INDIRECT($F181&amp;C$90&amp;"!"&amp;$G181)</f>
        <v>0</v>
      </c>
      <c r="D181" s="345" cm="1">
        <f t="array" aca="1" ref="D181" ca="1">INDIRECT($F181&amp;D$90&amp;"!"&amp;$G181)</f>
        <v>0</v>
      </c>
      <c r="E181" s="344">
        <f t="shared" si="14"/>
        <v>0</v>
      </c>
      <c r="F181" s="339" t="str">
        <f t="shared" ca="1" si="15"/>
        <v>HP_</v>
      </c>
      <c r="G181" s="339" t="str">
        <f t="shared" ca="1" si="16"/>
        <v>B191</v>
      </c>
      <c r="H181" s="339" t="str">
        <f t="shared" ca="1" si="17"/>
        <v>HP_1!B191</v>
      </c>
    </row>
    <row r="182" spans="1:8" ht="24">
      <c r="A182" s="338" t="str">
        <f>HP_1!A192</f>
        <v xml:space="preserve">% main water heat provided by each heat pump  based on system design </v>
      </c>
      <c r="B182" s="350">
        <f>HP_1!B192</f>
        <v>0</v>
      </c>
      <c r="C182" s="345" cm="1">
        <f t="array" aca="1" ref="C182" ca="1">INDIRECT($F182&amp;C$90&amp;"!"&amp;$G182)</f>
        <v>0</v>
      </c>
      <c r="D182" s="345" cm="1">
        <f t="array" aca="1" ref="D182" ca="1">INDIRECT($F182&amp;D$90&amp;"!"&amp;$G182)</f>
        <v>0</v>
      </c>
      <c r="E182" s="344">
        <f t="shared" si="14"/>
        <v>0</v>
      </c>
      <c r="F182" s="339" t="str">
        <f t="shared" ca="1" si="15"/>
        <v>HP_</v>
      </c>
      <c r="G182" s="339" t="str">
        <f t="shared" ca="1" si="16"/>
        <v>B192</v>
      </c>
      <c r="H182" s="339" t="str">
        <f t="shared" ca="1" si="17"/>
        <v>HP_1!B192</v>
      </c>
    </row>
    <row r="183" spans="1:8">
      <c r="A183" s="338" t="str">
        <f>HP_1!A193</f>
        <v>Is heat pump source preconditioned?</v>
      </c>
      <c r="B183" s="350" t="str">
        <f>HP_1!B193</f>
        <v>No</v>
      </c>
      <c r="C183" s="345" t="str" cm="1">
        <f t="array" aca="1" ref="C183" ca="1">INDIRECT($F183&amp;C$90&amp;"!"&amp;$G183)</f>
        <v>No</v>
      </c>
      <c r="D183" s="345" t="str" cm="1">
        <f t="array" aca="1" ref="D183" ca="1">INDIRECT($F183&amp;D$90&amp;"!"&amp;$G183)</f>
        <v>No</v>
      </c>
      <c r="E183" s="344" t="str">
        <f t="shared" si="14"/>
        <v>No</v>
      </c>
      <c r="F183" s="339" t="str">
        <f t="shared" ca="1" si="15"/>
        <v>HP_</v>
      </c>
      <c r="G183" s="339" t="str">
        <f t="shared" ca="1" si="16"/>
        <v>B193</v>
      </c>
      <c r="H183" s="339" t="str">
        <f t="shared" ca="1" si="17"/>
        <v>HP_1!B193</v>
      </c>
    </row>
    <row r="184" spans="1:8" ht="24">
      <c r="A184" s="338" t="str">
        <f>HP_1!A194</f>
        <v>Is the Heat Pump part of a Group Heating Scheme</v>
      </c>
      <c r="B184" s="350" t="str">
        <f>HP_1!B194</f>
        <v>No</v>
      </c>
      <c r="C184" s="345" t="str" cm="1">
        <f t="array" aca="1" ref="C184" ca="1">INDIRECT($F184&amp;C$90&amp;"!"&amp;$G184)</f>
        <v>No</v>
      </c>
      <c r="D184" s="345" t="str" cm="1">
        <f t="array" aca="1" ref="D184" ca="1">INDIRECT($F184&amp;D$90&amp;"!"&amp;$G184)</f>
        <v>No</v>
      </c>
      <c r="E184" s="344" t="str">
        <f t="shared" si="14"/>
        <v>No</v>
      </c>
      <c r="F184" s="339" t="str">
        <f t="shared" ca="1" si="15"/>
        <v>HP_</v>
      </c>
      <c r="G184" s="339" t="str">
        <f t="shared" ca="1" si="16"/>
        <v>B194</v>
      </c>
      <c r="H184" s="339" t="str">
        <f t="shared" ca="1" si="17"/>
        <v>HP_1!B194</v>
      </c>
    </row>
    <row r="185" spans="1:8" ht="24">
      <c r="A185" s="338" t="str">
        <f>HP_1!A195</f>
        <v>If "Exhaust Air Heat Pump(s)" what is the total exhaust Air Flow Rate</v>
      </c>
      <c r="B185" s="350">
        <f>HP_1!B195</f>
        <v>0</v>
      </c>
      <c r="C185" s="345" cm="1">
        <f t="array" aca="1" ref="C185" ca="1">INDIRECT($F185&amp;C$90&amp;"!"&amp;$G185)</f>
        <v>0</v>
      </c>
      <c r="D185" s="345" cm="1">
        <f t="array" aca="1" ref="D185" ca="1">INDIRECT($F185&amp;D$90&amp;"!"&amp;$G185)</f>
        <v>0</v>
      </c>
      <c r="E185" s="344">
        <f t="shared" si="14"/>
        <v>0</v>
      </c>
      <c r="F185" s="339" t="str">
        <f t="shared" ca="1" si="15"/>
        <v>HP_</v>
      </c>
      <c r="G185" s="339" t="str">
        <f t="shared" ca="1" si="16"/>
        <v>B195</v>
      </c>
      <c r="H185" s="339" t="str">
        <f t="shared" ca="1" si="17"/>
        <v>HP_1!B195</v>
      </c>
    </row>
  </sheetData>
  <sheetProtection algorithmName="SHA-512" hashValue="48+YCl6ICgeQA8mglknHTXSTgC43HYo30kVc+TKDfNogQlvhPtr22SN92c9GWA2P4KVk35X8ZyvMC9kWKS0HLg==" saltValue="08j4rndaUZX2myO5uW61gg==" spinCount="100000" sheet="1" objects="1" scenarios="1"/>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03C06-2155-4027-8B26-73693C3F1F58}">
  <dimension ref="A1:V185"/>
  <sheetViews>
    <sheetView workbookViewId="0">
      <selection activeCell="G17" sqref="G17"/>
    </sheetView>
  </sheetViews>
  <sheetFormatPr defaultColWidth="9.140625" defaultRowHeight="12.75"/>
  <cols>
    <col min="1" max="1" width="35.7109375" style="39" customWidth="1"/>
    <col min="2" max="2" width="29.7109375" style="39" customWidth="1"/>
    <col min="3" max="4" width="9.140625" style="39"/>
    <col min="5" max="5" width="29.7109375" style="39" customWidth="1"/>
    <col min="6" max="9" width="9.140625" style="39"/>
    <col min="10" max="10" width="16.140625" style="39" bestFit="1" customWidth="1"/>
    <col min="11" max="11" width="9.140625" style="39"/>
    <col min="12" max="12" width="23" style="3" bestFit="1" customWidth="1"/>
    <col min="13" max="13" width="18.28515625" style="3" customWidth="1"/>
    <col min="14" max="14" width="9.140625" style="3"/>
    <col min="15" max="15" width="9.140625" style="39"/>
    <col min="16" max="16" width="13.5703125" style="39" customWidth="1"/>
    <col min="17" max="20" width="9.140625" style="39"/>
    <col min="21" max="21" width="23.42578125" style="39" customWidth="1"/>
    <col min="22" max="22" width="17.28515625" style="39" customWidth="1"/>
    <col min="23" max="16384" width="9.140625" style="39"/>
  </cols>
  <sheetData>
    <row r="1" spans="1:22" ht="18.75" thickBot="1">
      <c r="A1" s="39" t="s">
        <v>1</v>
      </c>
      <c r="J1" s="292" t="s">
        <v>509</v>
      </c>
      <c r="K1" s="293">
        <v>2</v>
      </c>
      <c r="M1" s="43"/>
      <c r="N1" s="43"/>
      <c r="P1" s="39" t="s">
        <v>285</v>
      </c>
    </row>
    <row r="2" spans="1:22" ht="15.75">
      <c r="A2" s="1" t="s">
        <v>494</v>
      </c>
      <c r="M2" s="43"/>
      <c r="P2" s="39" t="s">
        <v>286</v>
      </c>
      <c r="Q2" s="39" t="s">
        <v>177</v>
      </c>
      <c r="S2" s="99" t="s">
        <v>287</v>
      </c>
      <c r="T2" s="99" t="s">
        <v>288</v>
      </c>
      <c r="U2" s="39" t="s">
        <v>289</v>
      </c>
      <c r="V2" s="39" t="s">
        <v>290</v>
      </c>
    </row>
    <row r="3" spans="1:22" ht="15.75">
      <c r="A3" s="39" t="s">
        <v>291</v>
      </c>
      <c r="B3" s="351">
        <f ca="1">E141</f>
        <v>0</v>
      </c>
      <c r="E3" s="39" t="s">
        <v>292</v>
      </c>
      <c r="M3" s="43"/>
      <c r="P3" s="39" t="s">
        <v>59</v>
      </c>
      <c r="Q3" s="39">
        <v>0.34499999999999997</v>
      </c>
      <c r="R3" s="39">
        <v>7</v>
      </c>
      <c r="S3" s="100" t="s">
        <v>1</v>
      </c>
      <c r="T3" s="100" t="s">
        <v>1</v>
      </c>
      <c r="U3" s="99">
        <f ca="1">IF(E94="Yes",0,IF($B$6=P3,IF($B$3&gt;R3,1,0),0))</f>
        <v>0</v>
      </c>
      <c r="V3" s="99">
        <f ca="1">IF(E94="Yes",0,IF($B$6=P3,IF(E127&gt;R3,1,0),0))</f>
        <v>0</v>
      </c>
    </row>
    <row r="4" spans="1:22" ht="15.75">
      <c r="A4" s="39" t="s">
        <v>293</v>
      </c>
      <c r="B4" s="351">
        <f ca="1">E126</f>
        <v>65</v>
      </c>
      <c r="C4" s="39" t="s">
        <v>294</v>
      </c>
      <c r="M4" s="43"/>
      <c r="P4" s="39" t="s">
        <v>68</v>
      </c>
      <c r="Q4" s="39">
        <v>2.1</v>
      </c>
      <c r="R4" s="39">
        <v>15</v>
      </c>
      <c r="S4" s="100" t="s">
        <v>1</v>
      </c>
      <c r="T4" s="100" t="s">
        <v>1</v>
      </c>
      <c r="U4" s="99">
        <f ca="1">IF(E94="Yes",0,IF($B$6=P4,IF($B$3&gt;R4,1,0),0))</f>
        <v>0</v>
      </c>
      <c r="V4" s="99">
        <f ca="1">IF(E94="Yes",0,IF($B$6=P4,IF(E127&gt;R4,1,0),0))</f>
        <v>0</v>
      </c>
    </row>
    <row r="5" spans="1:22">
      <c r="A5" s="39" t="s">
        <v>295</v>
      </c>
      <c r="B5" s="351">
        <f ca="1">E140</f>
        <v>0</v>
      </c>
      <c r="C5" s="39" t="s">
        <v>177</v>
      </c>
      <c r="E5" s="39" t="s">
        <v>292</v>
      </c>
      <c r="P5" s="39" t="s">
        <v>78</v>
      </c>
      <c r="Q5" s="39">
        <v>2.1</v>
      </c>
      <c r="R5" s="39">
        <v>15</v>
      </c>
      <c r="S5" s="100" t="s">
        <v>1</v>
      </c>
      <c r="T5" s="100" t="s">
        <v>1</v>
      </c>
      <c r="U5" s="99">
        <f ca="1">IF(E94="Yes",0,IF($B$6=P5,IF($B$3&gt;R5,1,0),0))</f>
        <v>0</v>
      </c>
      <c r="V5" s="99">
        <f ca="1">IF(E94="Yes",0,IF($B$6=P5,IF(E127&gt;R5,1,0),0))</f>
        <v>0</v>
      </c>
    </row>
    <row r="6" spans="1:22">
      <c r="A6" s="39" t="s">
        <v>175</v>
      </c>
      <c r="B6" s="353" t="str">
        <f ca="1">E139</f>
        <v>M</v>
      </c>
      <c r="P6" s="39" t="s">
        <v>86</v>
      </c>
      <c r="Q6" s="39">
        <v>2.1</v>
      </c>
      <c r="R6" s="39">
        <v>36</v>
      </c>
      <c r="S6" s="100" t="s">
        <v>1</v>
      </c>
      <c r="T6" s="100" t="s">
        <v>1</v>
      </c>
      <c r="U6" s="99">
        <f ca="1">IF(E94="Yes",0,IF($B$6=P6,IF($B$3&gt;R6,1,0),0))</f>
        <v>0</v>
      </c>
      <c r="V6" s="99">
        <f ca="1">IF(E94="Yes",0,IF($B$6=P6,IF(E127&gt;R6,1,0),0))</f>
        <v>0</v>
      </c>
    </row>
    <row r="7" spans="1:22">
      <c r="A7" s="39" t="s">
        <v>296</v>
      </c>
      <c r="B7" s="39">
        <f ca="1">VLOOKUP(B6,P3:R13,3,)</f>
        <v>65</v>
      </c>
      <c r="C7" s="39" t="s">
        <v>179</v>
      </c>
      <c r="E7" s="39" t="s">
        <v>1</v>
      </c>
      <c r="G7" s="101" t="s">
        <v>1</v>
      </c>
      <c r="M7" s="102"/>
      <c r="P7" s="39" t="s">
        <v>91</v>
      </c>
      <c r="Q7" s="39">
        <v>5.8449999999999998</v>
      </c>
      <c r="R7" s="39">
        <v>65</v>
      </c>
      <c r="S7" s="4">
        <f t="shared" ref="S7:S12" ca="1" si="0">R7/(($E$136-10)/30)</f>
        <v>-195</v>
      </c>
      <c r="T7" s="4">
        <f t="shared" ref="T7:T12" si="1">R7/((60-10)/30)</f>
        <v>39</v>
      </c>
      <c r="U7" s="99">
        <f ca="1">IF(E94="Yes",0,IF($B$6=P7,IF($B$3&lt;S7,1,0),0))</f>
        <v>0</v>
      </c>
      <c r="V7" s="99">
        <f ca="1">IF(E94="Yes",0,IF($B$6=P7,IF(E127&lt;T7,1,0),0))</f>
        <v>1</v>
      </c>
    </row>
    <row r="8" spans="1:22">
      <c r="A8" s="39" t="s">
        <v>297</v>
      </c>
      <c r="B8" s="39">
        <f ca="1">VLOOKUP(B6,P3:Q13,2,)</f>
        <v>5.8449999999999998</v>
      </c>
      <c r="C8" s="39" t="s">
        <v>177</v>
      </c>
      <c r="E8" s="39" t="s">
        <v>298</v>
      </c>
      <c r="P8" s="39" t="s">
        <v>94</v>
      </c>
      <c r="Q8" s="39">
        <v>11.654999999999999</v>
      </c>
      <c r="R8" s="39">
        <v>130</v>
      </c>
      <c r="S8" s="4">
        <f t="shared" ca="1" si="0"/>
        <v>-390</v>
      </c>
      <c r="T8" s="4">
        <f t="shared" si="1"/>
        <v>78</v>
      </c>
      <c r="U8" s="99">
        <f ca="1">IF(E94="Yes",0,IF($B$6=P8,IF($B$3&lt;S8,1,0),0))</f>
        <v>0</v>
      </c>
      <c r="V8" s="99">
        <f ca="1">IF(E94="Yes",0,IF($B$6=P8,IF(E127&lt;T8,1,0),0))</f>
        <v>0</v>
      </c>
    </row>
    <row r="9" spans="1:22">
      <c r="A9" s="99" t="str">
        <f ca="1">"COP based on "&amp;E122</f>
        <v>COP based on I.S. EN 16147</v>
      </c>
      <c r="B9" s="352">
        <f ca="1">E135</f>
        <v>0</v>
      </c>
      <c r="P9" s="39" t="s">
        <v>97</v>
      </c>
      <c r="Q9" s="39">
        <v>19.07</v>
      </c>
      <c r="R9" s="39">
        <v>210</v>
      </c>
      <c r="S9" s="4">
        <f t="shared" ca="1" si="0"/>
        <v>-630</v>
      </c>
      <c r="T9" s="4">
        <f t="shared" si="1"/>
        <v>126</v>
      </c>
      <c r="U9" s="99">
        <f ca="1">IF(E94="Yes",0,IF($B$6=P9,IF($B$3&lt;S9,1,0),0))</f>
        <v>0</v>
      </c>
      <c r="V9" s="99">
        <f ca="1">IF(E94="Yes",0,IF($B$6=P9,IF(E127&lt;T9,1,0),0))</f>
        <v>0</v>
      </c>
    </row>
    <row r="10" spans="1:22">
      <c r="A10" s="39" t="s">
        <v>173</v>
      </c>
      <c r="B10" s="351">
        <f ca="1">E138</f>
        <v>0</v>
      </c>
      <c r="C10" s="39" t="s">
        <v>174</v>
      </c>
      <c r="P10" s="39" t="s">
        <v>100</v>
      </c>
      <c r="Q10" s="39">
        <v>24.53</v>
      </c>
      <c r="R10" s="39">
        <v>300</v>
      </c>
      <c r="S10" s="4">
        <f t="shared" ca="1" si="0"/>
        <v>-900</v>
      </c>
      <c r="T10" s="4">
        <f t="shared" si="1"/>
        <v>180</v>
      </c>
      <c r="U10" s="99">
        <f ca="1">IF(E94="Yes",0,IF($B$6=P10,IF($B$3&lt;S10,1,0),0))</f>
        <v>0</v>
      </c>
      <c r="V10" s="99">
        <f ca="1">IF(E94="Yes",0,IF($B$6=P10,IF(E127&lt;T10,1,0),0))</f>
        <v>0</v>
      </c>
    </row>
    <row r="11" spans="1:22">
      <c r="A11" s="39" t="s">
        <v>1</v>
      </c>
      <c r="P11" s="39" t="s">
        <v>101</v>
      </c>
      <c r="Q11" s="39">
        <v>46.76</v>
      </c>
      <c r="R11" s="39">
        <v>520</v>
      </c>
      <c r="S11" s="4">
        <f t="shared" ca="1" si="0"/>
        <v>-1560</v>
      </c>
      <c r="T11" s="4">
        <f t="shared" si="1"/>
        <v>312</v>
      </c>
      <c r="U11" s="99">
        <f ca="1">IF(E94="Yes",0,IF($B$6=P11,IF($B$3&lt;S11,1,0),0))</f>
        <v>0</v>
      </c>
      <c r="V11" s="99">
        <f ca="1">IF(E94="Yes",0,IF($B$6=P11,IF(E127&lt;T11,1,0),0))</f>
        <v>0</v>
      </c>
    </row>
    <row r="12" spans="1:22">
      <c r="A12" s="39" t="s">
        <v>299</v>
      </c>
      <c r="B12" s="4">
        <f ca="1">IF(E122="I.S. EN 14825/14511",B9,B9*(1+B5/B8))</f>
        <v>0</v>
      </c>
      <c r="E12" s="99" t="s">
        <v>416</v>
      </c>
      <c r="P12" s="39" t="s">
        <v>104</v>
      </c>
      <c r="Q12" s="39">
        <v>93.52</v>
      </c>
      <c r="R12" s="39">
        <v>1040</v>
      </c>
      <c r="S12" s="4">
        <f t="shared" ca="1" si="0"/>
        <v>-3120</v>
      </c>
      <c r="T12" s="4">
        <f t="shared" si="1"/>
        <v>624</v>
      </c>
      <c r="U12" s="99">
        <f ca="1">IF(E94="Yes",0,IF($B$6=P12,IF($B$3&lt;S12,1,0),0))</f>
        <v>0</v>
      </c>
      <c r="V12" s="99">
        <f ca="1">IF(E94="Yes",0,IF($B$6=P12,IF(E127&lt;T12,1,0),0))</f>
        <v>0</v>
      </c>
    </row>
    <row r="13" spans="1:22">
      <c r="P13" s="39">
        <v>0</v>
      </c>
    </row>
    <row r="14" spans="1:22" ht="14.25">
      <c r="A14" s="39" t="s">
        <v>300</v>
      </c>
      <c r="B14" s="351">
        <f ca="1">E136</f>
        <v>0</v>
      </c>
      <c r="C14" s="99" t="s">
        <v>301</v>
      </c>
      <c r="U14" s="39">
        <f ca="1">IF($E$122="I.S. EN 14825/14511",0,SUM(U3:U13))</f>
        <v>0</v>
      </c>
      <c r="V14" s="39">
        <f ca="1">IF($E$122="I.S. EN 14825/14511",0,SUM(V3:V13))</f>
        <v>1</v>
      </c>
    </row>
    <row r="15" spans="1:22" ht="14.25">
      <c r="A15" s="39" t="s">
        <v>302</v>
      </c>
      <c r="B15" s="351">
        <f ca="1">IF(E122="I.S. EN 14825/14511",B14,E126)</f>
        <v>65</v>
      </c>
      <c r="C15" s="99" t="s">
        <v>301</v>
      </c>
    </row>
    <row r="16" spans="1:22" ht="14.25">
      <c r="A16" s="39" t="s">
        <v>303</v>
      </c>
      <c r="B16" s="351">
        <f ca="1">E125</f>
        <v>10</v>
      </c>
      <c r="C16" s="99" t="s">
        <v>301</v>
      </c>
      <c r="M16" s="102"/>
      <c r="P16" s="39" t="s">
        <v>1</v>
      </c>
      <c r="U16" s="99" t="s">
        <v>581</v>
      </c>
      <c r="V16" s="99" t="s">
        <v>580</v>
      </c>
    </row>
    <row r="17" spans="1:21" ht="25.5">
      <c r="A17" s="104" t="s">
        <v>304</v>
      </c>
      <c r="B17" s="4">
        <f ca="1">(B15-B14)/(B15-B16)</f>
        <v>1.1818181818181819</v>
      </c>
    </row>
    <row r="18" spans="1:21">
      <c r="U18" s="104" t="s">
        <v>1</v>
      </c>
    </row>
    <row r="19" spans="1:21">
      <c r="A19" s="39" t="s">
        <v>306</v>
      </c>
      <c r="B19" s="39">
        <f ca="1">IF(E94="No",E123,((E123*E97)/E96))</f>
        <v>0</v>
      </c>
      <c r="C19" s="39" t="s">
        <v>43</v>
      </c>
      <c r="I19" s="2"/>
    </row>
    <row r="20" spans="1:21">
      <c r="A20" s="39" t="s">
        <v>307</v>
      </c>
      <c r="B20" s="4" t="e">
        <f ca="1">B19/B10</f>
        <v>#DIV/0!</v>
      </c>
      <c r="C20" s="99" t="s">
        <v>39</v>
      </c>
      <c r="M20" s="102"/>
    </row>
    <row r="21" spans="1:21">
      <c r="A21" s="99" t="s">
        <v>308</v>
      </c>
      <c r="B21" s="4">
        <f ca="1">8760*((24-E112)/24)</f>
        <v>2920</v>
      </c>
      <c r="C21" s="99" t="s">
        <v>39</v>
      </c>
      <c r="E21" s="99" t="s">
        <v>417</v>
      </c>
      <c r="M21" s="102"/>
    </row>
    <row r="22" spans="1:21">
      <c r="A22" s="39" t="s">
        <v>309</v>
      </c>
      <c r="B22" s="4" t="e">
        <f ca="1">IF((B20-B21)&lt;0,0,(B20-B21))</f>
        <v>#DIV/0!</v>
      </c>
    </row>
    <row r="23" spans="1:21" ht="25.5">
      <c r="A23" s="104" t="s">
        <v>310</v>
      </c>
      <c r="B23" s="4" t="e">
        <f ca="1">(B22*B10)/B19</f>
        <v>#DIV/0!</v>
      </c>
      <c r="M23" s="102"/>
    </row>
    <row r="25" spans="1:21">
      <c r="A25" s="99" t="s">
        <v>453</v>
      </c>
      <c r="B25" s="2" t="e">
        <f ca="1">(B19*(1-B17-B23))/B12</f>
        <v>#DIV/0!</v>
      </c>
      <c r="C25" s="39" t="s">
        <v>43</v>
      </c>
      <c r="M25" s="102"/>
    </row>
    <row r="26" spans="1:21">
      <c r="A26" s="39" t="s">
        <v>311</v>
      </c>
      <c r="B26" s="2">
        <f ca="1">(B19*B17)/E132</f>
        <v>0</v>
      </c>
      <c r="C26" s="39" t="s">
        <v>43</v>
      </c>
      <c r="E26" s="99" t="s">
        <v>454</v>
      </c>
    </row>
    <row r="27" spans="1:21">
      <c r="A27" s="39" t="s">
        <v>312</v>
      </c>
      <c r="B27" s="2" t="e">
        <f ca="1">(B19*B23)/E132</f>
        <v>#DIV/0!</v>
      </c>
      <c r="C27" s="39" t="s">
        <v>43</v>
      </c>
      <c r="E27" s="99" t="s">
        <v>454</v>
      </c>
    </row>
    <row r="28" spans="1:21">
      <c r="A28" s="99" t="s">
        <v>455</v>
      </c>
      <c r="B28" s="2" t="e">
        <f ca="1">SUM(B25:B27)</f>
        <v>#DIV/0!</v>
      </c>
      <c r="C28" s="39" t="s">
        <v>43</v>
      </c>
    </row>
    <row r="30" spans="1:21">
      <c r="A30" s="99" t="s">
        <v>314</v>
      </c>
      <c r="B30" s="105" t="e">
        <f ca="1">B19/B28</f>
        <v>#DIV/0!</v>
      </c>
      <c r="M30" s="102"/>
    </row>
    <row r="31" spans="1:21">
      <c r="F31" s="2"/>
    </row>
    <row r="32" spans="1:21">
      <c r="A32" s="39" t="s">
        <v>278</v>
      </c>
      <c r="B32" s="117" t="e">
        <f ca="1">B34-B25</f>
        <v>#DIV/0!</v>
      </c>
      <c r="C32" s="39" t="s">
        <v>43</v>
      </c>
    </row>
    <row r="34" spans="1:14">
      <c r="A34" s="39" t="s">
        <v>315</v>
      </c>
      <c r="B34" s="103" t="e">
        <f ca="1">B19*(1-B17-B23)</f>
        <v>#DIV/0!</v>
      </c>
      <c r="C34" s="39" t="s">
        <v>43</v>
      </c>
    </row>
    <row r="36" spans="1:14">
      <c r="A36" s="99" t="s">
        <v>282</v>
      </c>
      <c r="B36" s="118">
        <f ca="1">IF(LEFT(E119,7)="Exhaust",(B10*(1-1/B9)-(E176*1.2/3600)*(20-7))/(B10*(1-1/B9)),1)</f>
        <v>1</v>
      </c>
    </row>
    <row r="37" spans="1:14">
      <c r="B37" s="108"/>
    </row>
    <row r="38" spans="1:14">
      <c r="A38" s="39" t="s">
        <v>281</v>
      </c>
      <c r="B38" s="106" t="e">
        <f ca="1">B32*B36</f>
        <v>#DIV/0!</v>
      </c>
      <c r="C38" s="39" t="s">
        <v>43</v>
      </c>
    </row>
    <row r="39" spans="1:14">
      <c r="B39" s="108"/>
      <c r="N39" s="102"/>
    </row>
    <row r="40" spans="1:14">
      <c r="D40" s="119"/>
      <c r="L40" s="109"/>
      <c r="N40" s="102"/>
    </row>
    <row r="42" spans="1:14">
      <c r="A42" s="1" t="s">
        <v>316</v>
      </c>
    </row>
    <row r="43" spans="1:14">
      <c r="A43" s="39" t="s">
        <v>306</v>
      </c>
      <c r="B43" s="39">
        <f ca="1">B19</f>
        <v>0</v>
      </c>
      <c r="C43" s="39" t="s">
        <v>43</v>
      </c>
    </row>
    <row r="44" spans="1:14">
      <c r="A44" s="39" t="s">
        <v>317</v>
      </c>
      <c r="B44" s="103">
        <f ca="1">E147</f>
        <v>3.2</v>
      </c>
    </row>
    <row r="45" spans="1:14">
      <c r="A45" s="39" t="s">
        <v>173</v>
      </c>
      <c r="B45" s="351">
        <f ca="1">E149</f>
        <v>7</v>
      </c>
      <c r="C45" s="39" t="s">
        <v>174</v>
      </c>
    </row>
    <row r="47" spans="1:14">
      <c r="A47" s="39" t="s">
        <v>300</v>
      </c>
      <c r="B47" s="351">
        <f ca="1">E148</f>
        <v>54</v>
      </c>
      <c r="C47" s="39" t="s">
        <v>294</v>
      </c>
    </row>
    <row r="48" spans="1:14">
      <c r="A48" s="39" t="s">
        <v>302</v>
      </c>
      <c r="B48" s="351">
        <f ca="1">E126</f>
        <v>65</v>
      </c>
      <c r="C48" s="39" t="s">
        <v>294</v>
      </c>
    </row>
    <row r="49" spans="1:14">
      <c r="A49" s="39" t="s">
        <v>303</v>
      </c>
      <c r="B49" s="351">
        <f ca="1">E125</f>
        <v>10</v>
      </c>
      <c r="C49" s="39" t="s">
        <v>294</v>
      </c>
    </row>
    <row r="51" spans="1:14">
      <c r="A51" s="39" t="s">
        <v>318</v>
      </c>
      <c r="B51" s="4">
        <f ca="1">IF((B48-B47)&lt;=0,0,(B48-B47)/(B48-B49))</f>
        <v>0.2</v>
      </c>
      <c r="E51" s="39" t="s">
        <v>305</v>
      </c>
      <c r="L51" s="109"/>
    </row>
    <row r="52" spans="1:14">
      <c r="L52" s="110"/>
      <c r="N52" s="102"/>
    </row>
    <row r="53" spans="1:14">
      <c r="A53" s="39" t="s">
        <v>319</v>
      </c>
      <c r="B53" s="2">
        <f ca="1">(B43*(1-B51))/B44</f>
        <v>0</v>
      </c>
      <c r="C53" s="39" t="s">
        <v>43</v>
      </c>
      <c r="N53" s="102"/>
    </row>
    <row r="54" spans="1:14">
      <c r="A54" s="39" t="s">
        <v>320</v>
      </c>
      <c r="B54" s="2">
        <f ca="1">(B43*B51)/E132</f>
        <v>0</v>
      </c>
      <c r="C54" s="39" t="s">
        <v>43</v>
      </c>
      <c r="G54" s="39" t="s">
        <v>1</v>
      </c>
      <c r="L54" s="109"/>
    </row>
    <row r="55" spans="1:14">
      <c r="A55" s="39" t="s">
        <v>313</v>
      </c>
      <c r="B55" s="2">
        <f ca="1">SUM(B53:B54)</f>
        <v>0</v>
      </c>
      <c r="C55" s="39" t="s">
        <v>43</v>
      </c>
    </row>
    <row r="57" spans="1:14">
      <c r="A57" s="99" t="s">
        <v>314</v>
      </c>
      <c r="B57" s="105" t="e">
        <f ca="1">B43/B55</f>
        <v>#DIV/0!</v>
      </c>
    </row>
    <row r="59" spans="1:14">
      <c r="A59" s="39" t="s">
        <v>278</v>
      </c>
      <c r="B59" s="106" t="e">
        <f ca="1">IF(B57&gt;2.5,(B57-2.5)*B55,0)</f>
        <v>#DIV/0!</v>
      </c>
      <c r="C59" s="39" t="s">
        <v>43</v>
      </c>
    </row>
    <row r="61" spans="1:14">
      <c r="A61" s="39" t="s">
        <v>315</v>
      </c>
      <c r="B61" s="103">
        <f ca="1">B43*(1-B51)</f>
        <v>0</v>
      </c>
      <c r="C61" s="39" t="s">
        <v>43</v>
      </c>
    </row>
    <row r="63" spans="1:14">
      <c r="A63" s="39" t="s">
        <v>321</v>
      </c>
      <c r="B63" s="107" t="e">
        <f ca="1">B61/B53</f>
        <v>#DIV/0!</v>
      </c>
    </row>
    <row r="64" spans="1:14">
      <c r="B64" s="108"/>
    </row>
    <row r="65" spans="1:14">
      <c r="A65" s="39" t="s">
        <v>281</v>
      </c>
      <c r="B65" s="106" t="e">
        <f ca="1">IF(B63&lt;2.5,0,(B63-2.5)*B53)</f>
        <v>#DIV/0!</v>
      </c>
      <c r="C65" s="39" t="s">
        <v>43</v>
      </c>
    </row>
    <row r="66" spans="1:14">
      <c r="B66" s="108"/>
    </row>
    <row r="67" spans="1:14">
      <c r="L67" s="109"/>
      <c r="N67" s="102"/>
    </row>
    <row r="70" spans="1:14">
      <c r="A70" s="1" t="s">
        <v>322</v>
      </c>
    </row>
    <row r="71" spans="1:14">
      <c r="A71" s="39" t="s">
        <v>306</v>
      </c>
      <c r="B71" s="39">
        <f ca="1">B19</f>
        <v>0</v>
      </c>
      <c r="C71" s="39" t="s">
        <v>43</v>
      </c>
    </row>
    <row r="72" spans="1:14">
      <c r="A72" s="39" t="s">
        <v>323</v>
      </c>
      <c r="B72" s="103">
        <f ca="1">E143</f>
        <v>3.33</v>
      </c>
    </row>
    <row r="73" spans="1:14">
      <c r="A73" s="39" t="s">
        <v>40</v>
      </c>
      <c r="B73" s="103">
        <f ca="1">IF(AND(E145="No",E146="Yes"),0.7,1)</f>
        <v>0.7</v>
      </c>
    </row>
    <row r="74" spans="1:14">
      <c r="A74" s="39" t="s">
        <v>1</v>
      </c>
      <c r="B74" s="39" t="s">
        <v>324</v>
      </c>
      <c r="C74" s="39" t="s">
        <v>1</v>
      </c>
    </row>
    <row r="75" spans="1:14">
      <c r="A75" s="99" t="s">
        <v>314</v>
      </c>
      <c r="B75" s="105">
        <f ca="1">IF(AND(E145="No",E146="Yes"),B72,(1/(50/(B72*100)+0.5)))</f>
        <v>3.33</v>
      </c>
      <c r="N75" s="102"/>
    </row>
    <row r="76" spans="1:14">
      <c r="A76" s="99"/>
      <c r="B76" s="111"/>
    </row>
    <row r="77" spans="1:14">
      <c r="A77" s="39" t="s">
        <v>313</v>
      </c>
      <c r="B77" s="111">
        <f ca="1">B71/B75</f>
        <v>0</v>
      </c>
      <c r="C77" s="39" t="s">
        <v>43</v>
      </c>
    </row>
    <row r="79" spans="1:14">
      <c r="A79" s="39" t="s">
        <v>278</v>
      </c>
      <c r="B79" s="106">
        <f ca="1">IF(B75&gt;2.5,(B75-2.5)*B77,0)</f>
        <v>0</v>
      </c>
      <c r="C79" s="39" t="s">
        <v>43</v>
      </c>
    </row>
    <row r="81" spans="1:14">
      <c r="A81" s="39" t="s">
        <v>315</v>
      </c>
      <c r="B81" s="103">
        <f ca="1">IF(B75=B72,B71,B71*0.5)</f>
        <v>0</v>
      </c>
      <c r="C81" s="39" t="s">
        <v>43</v>
      </c>
      <c r="E81" s="2"/>
    </row>
    <row r="83" spans="1:14">
      <c r="A83" s="39" t="s">
        <v>319</v>
      </c>
      <c r="B83" s="39">
        <f ca="1">B81/B72</f>
        <v>0</v>
      </c>
      <c r="C83" s="39" t="s">
        <v>43</v>
      </c>
    </row>
    <row r="85" spans="1:14">
      <c r="A85" s="39" t="s">
        <v>281</v>
      </c>
      <c r="B85" s="106">
        <f ca="1">IF(B72&lt;2.5,0,(B72-2.5)*B83)</f>
        <v>0</v>
      </c>
      <c r="C85" s="39" t="s">
        <v>43</v>
      </c>
      <c r="N85" s="102"/>
    </row>
    <row r="86" spans="1:14">
      <c r="B86" s="108"/>
    </row>
    <row r="87" spans="1:14">
      <c r="L87" s="109"/>
      <c r="N87" s="102"/>
    </row>
    <row r="89" spans="1:14" ht="24">
      <c r="A89" s="317" t="s">
        <v>568</v>
      </c>
      <c r="B89" s="334" t="s">
        <v>553</v>
      </c>
      <c r="C89" s="334" t="s">
        <v>554</v>
      </c>
      <c r="D89" s="334" t="s">
        <v>555</v>
      </c>
      <c r="E89" s="335"/>
      <c r="F89" s="335"/>
      <c r="G89" s="335"/>
      <c r="H89" s="335"/>
    </row>
    <row r="90" spans="1:14" ht="60">
      <c r="A90" s="336" t="s">
        <v>551</v>
      </c>
      <c r="B90" s="336" t="str">
        <f>RIGHT(B89)</f>
        <v>1</v>
      </c>
      <c r="C90" s="336" t="str">
        <f>RIGHT(C89)</f>
        <v>2</v>
      </c>
      <c r="D90" s="336" t="str">
        <f>RIGHT(D89)</f>
        <v>3</v>
      </c>
      <c r="E90" s="336" t="s">
        <v>552</v>
      </c>
      <c r="F90" s="337" t="s">
        <v>547</v>
      </c>
      <c r="G90" s="337" t="s">
        <v>550</v>
      </c>
      <c r="H90" s="337" t="s">
        <v>556</v>
      </c>
    </row>
    <row r="91" spans="1:14">
      <c r="A91" s="338" t="str">
        <f>HP_1!O12</f>
        <v>Same HP for Space and Water Heating</v>
      </c>
      <c r="B91" s="343" t="b">
        <f>HP_1!N12</f>
        <v>1</v>
      </c>
      <c r="C91" s="345" t="b" cm="1">
        <f t="array" aca="1" ref="C91" ca="1">INDIRECT($F91&amp;C$90&amp;"!"&amp;$G91)</f>
        <v>0</v>
      </c>
      <c r="D91" s="345" t="b" cm="1">
        <f t="array" aca="1" ref="D91" ca="1">INDIRECT($F91&amp;D$90&amp;"!"&amp;$G91)</f>
        <v>0</v>
      </c>
      <c r="E91" s="341" t="b">
        <f ca="1">VLOOKUP(A91,A91:D91,$K$1+1,FALSE)</f>
        <v>0</v>
      </c>
      <c r="F91" s="339" t="str">
        <f ca="1">LEFT(H91,FIND("1",H91)-1)</f>
        <v>HP_</v>
      </c>
      <c r="G91" s="339" t="str">
        <f ca="1">RIGHT(H91,LEN(H91)-FIND("!",H91))</f>
        <v>N12</v>
      </c>
      <c r="H91" s="339" t="str">
        <f ca="1">SUBSTITUTE( _xlfn.FORMULATEXT(B91),"=","")</f>
        <v>HP_1!N12</v>
      </c>
    </row>
    <row r="92" spans="1:14">
      <c r="A92" s="338" t="str">
        <f>HP_1!A3</f>
        <v>Total heat loss (W/K) taken from DEAP</v>
      </c>
      <c r="B92" s="346">
        <f>HP_1!B3</f>
        <v>0</v>
      </c>
      <c r="C92" s="345" cm="1">
        <f t="array" aca="1" ref="C92" ca="1">INDIRECT($F92&amp;C$90&amp;"!"&amp;$G92)</f>
        <v>0</v>
      </c>
      <c r="D92" s="345" cm="1">
        <f t="array" aca="1" ref="D92" ca="1">INDIRECT($F92&amp;D$90&amp;"!"&amp;$G92)</f>
        <v>0</v>
      </c>
      <c r="E92" s="340">
        <f ca="1">VLOOKUP(A92,A92:D92,$K$1+1,FALSE)</f>
        <v>0</v>
      </c>
      <c r="F92" s="339" t="str">
        <f ca="1">LEFT(H92,FIND("1",H92)-1)</f>
        <v>HP_</v>
      </c>
      <c r="G92" s="339" t="str">
        <f ca="1">RIGHT(H92,LEN(H92)-FIND("!",H92))</f>
        <v>B3</v>
      </c>
      <c r="H92" s="339" t="str">
        <f ca="1">SUBSTITUTE( _xlfn.FORMULATEXT(B92),"=","")</f>
        <v>HP_1!B3</v>
      </c>
    </row>
    <row r="93" spans="1:14" ht="48">
      <c r="A93" s="338" t="str">
        <f>HP_1!A4</f>
        <v>Heat Loss Watts</v>
      </c>
      <c r="B93" s="343" t="str">
        <f>HP_1!B4</f>
        <v>Please complete DEAPEntries tab</v>
      </c>
      <c r="C93" s="345" t="str" cm="1">
        <f t="array" aca="1" ref="C93" ca="1">INDIRECT($F93&amp;C$90&amp;"!"&amp;$G93)</f>
        <v>Please complete DEAPEntries tab</v>
      </c>
      <c r="D93" s="345" t="str" cm="1">
        <f t="array" aca="1" ref="D93" ca="1">INDIRECT($F93&amp;D$90&amp;"!"&amp;$G93)</f>
        <v>Please complete DEAPEntries tab</v>
      </c>
      <c r="E93" s="340" t="str">
        <f t="shared" ref="E93:E156" ca="1" si="2">VLOOKUP(A93,A93:D93,$K$1+1,FALSE)</f>
        <v>Please complete DEAPEntries tab</v>
      </c>
      <c r="F93" s="339" t="str">
        <f t="shared" ref="F93:F156" ca="1" si="3">LEFT(H93,FIND("1",H93)-1)</f>
        <v>HP_</v>
      </c>
      <c r="G93" s="339" t="str">
        <f t="shared" ref="G93:G156" ca="1" si="4">RIGHT(H93,LEN(H93)-FIND("!",H93))</f>
        <v>B4</v>
      </c>
      <c r="H93" s="339" t="str">
        <f t="shared" ref="H93:H156" ca="1" si="5">SUBSTITUTE( _xlfn.FORMULATEXT(B93),"=","")</f>
        <v>HP_1!B4</v>
      </c>
    </row>
    <row r="94" spans="1:14" ht="24">
      <c r="A94" s="338" t="str">
        <f>HP_1!A5</f>
        <v>Is this Heat Pump part of a Group Heating Scheme</v>
      </c>
      <c r="B94" s="343" t="str">
        <f>HP_1!B5</f>
        <v>No</v>
      </c>
      <c r="C94" s="345" t="str" cm="1">
        <f t="array" aca="1" ref="C94" ca="1">INDIRECT($F94&amp;C$90&amp;"!"&amp;$G94)</f>
        <v>No</v>
      </c>
      <c r="D94" s="345" t="str" cm="1">
        <f t="array" aca="1" ref="D94" ca="1">INDIRECT($F94&amp;D$90&amp;"!"&amp;$G94)</f>
        <v>No</v>
      </c>
      <c r="E94" s="341" t="str">
        <f t="shared" ca="1" si="2"/>
        <v>No</v>
      </c>
      <c r="F94" s="339" t="str">
        <f t="shared" ca="1" si="3"/>
        <v>HP_</v>
      </c>
      <c r="G94" s="339" t="str">
        <f t="shared" ca="1" si="4"/>
        <v>B5</v>
      </c>
      <c r="H94" s="339" t="str">
        <f t="shared" ca="1" si="5"/>
        <v>HP_1!B5</v>
      </c>
    </row>
    <row r="95" spans="1:14" ht="24">
      <c r="A95" s="338" t="str">
        <f>HP_1!A6</f>
        <v>Proportion of main space heating provided by this heat pump</v>
      </c>
      <c r="B95" s="343">
        <f>HP_1!B6</f>
        <v>0</v>
      </c>
      <c r="C95" s="345" cm="1">
        <f t="array" aca="1" ref="C95" ca="1">INDIRECT($F95&amp;C$90&amp;"!"&amp;$G95)</f>
        <v>0</v>
      </c>
      <c r="D95" s="345" cm="1">
        <f t="array" aca="1" ref="D95" ca="1">INDIRECT($F95&amp;D$90&amp;"!"&amp;$G95)</f>
        <v>0</v>
      </c>
      <c r="E95" s="342">
        <f t="shared" ca="1" si="2"/>
        <v>0</v>
      </c>
      <c r="F95" s="339" t="str">
        <f t="shared" ca="1" si="3"/>
        <v>HP_</v>
      </c>
      <c r="G95" s="339" t="str">
        <f t="shared" ca="1" si="4"/>
        <v>B6</v>
      </c>
      <c r="H95" s="339" t="str">
        <f t="shared" ca="1" si="5"/>
        <v>HP_1!B6</v>
      </c>
    </row>
    <row r="96" spans="1:14">
      <c r="A96" s="338" t="str">
        <f>HP_1!A7</f>
        <v>Floor Area of Dwelling</v>
      </c>
      <c r="B96" s="343">
        <f>HP_1!B7</f>
        <v>0</v>
      </c>
      <c r="C96" s="345" cm="1">
        <f t="array" aca="1" ref="C96" ca="1">INDIRECT($F96&amp;C$90&amp;"!"&amp;$G96)</f>
        <v>0</v>
      </c>
      <c r="D96" s="345" cm="1">
        <f t="array" aca="1" ref="D96" ca="1">INDIRECT($F96&amp;D$90&amp;"!"&amp;$G96)</f>
        <v>0</v>
      </c>
      <c r="E96" s="341">
        <f t="shared" ca="1" si="2"/>
        <v>0</v>
      </c>
      <c r="F96" s="339" t="str">
        <f t="shared" ca="1" si="3"/>
        <v>HP_</v>
      </c>
      <c r="G96" s="339" t="str">
        <f t="shared" ca="1" si="4"/>
        <v>B7</v>
      </c>
      <c r="H96" s="339" t="str">
        <f t="shared" ca="1" si="5"/>
        <v>HP_1!B7</v>
      </c>
    </row>
    <row r="97" spans="1:8" ht="36">
      <c r="A97" s="338" t="str">
        <f>HP_1!A8</f>
        <v>If Heat Pump serves a Group Heat Scheme, the total Floor Area served by Heat Pump is:</v>
      </c>
      <c r="B97" s="343">
        <f>HP_1!B8</f>
        <v>0</v>
      </c>
      <c r="C97" s="345" cm="1">
        <f t="array" aca="1" ref="C97" ca="1">INDIRECT($F97&amp;C$90&amp;"!"&amp;$G97)</f>
        <v>0</v>
      </c>
      <c r="D97" s="345" cm="1">
        <f t="array" aca="1" ref="D97" ca="1">INDIRECT($F97&amp;D$90&amp;"!"&amp;$G97)</f>
        <v>0</v>
      </c>
      <c r="E97" s="341">
        <f t="shared" ca="1" si="2"/>
        <v>0</v>
      </c>
      <c r="F97" s="339" t="str">
        <f t="shared" ca="1" si="3"/>
        <v>HP_</v>
      </c>
      <c r="G97" s="339" t="str">
        <f t="shared" ca="1" si="4"/>
        <v>B8</v>
      </c>
      <c r="H97" s="339" t="str">
        <f t="shared" ca="1" si="5"/>
        <v>HP_1!B8</v>
      </c>
    </row>
    <row r="98" spans="1:8" ht="24">
      <c r="A98" s="338" t="str">
        <f>HP_1!A12</f>
        <v>Type of heat pump</v>
      </c>
      <c r="B98" s="343" t="str">
        <f>HP_1!B12</f>
        <v>Air to Water</v>
      </c>
      <c r="C98" s="345" t="str" cm="1">
        <f t="array" aca="1" ref="C98" ca="1">INDIRECT($F98&amp;C$90&amp;"!"&amp;$G98)</f>
        <v>Air to Water</v>
      </c>
      <c r="D98" s="345" t="str" cm="1">
        <f t="array" aca="1" ref="D98" ca="1">INDIRECT($F98&amp;D$90&amp;"!"&amp;$G98)</f>
        <v>Air to Water</v>
      </c>
      <c r="E98" s="341" t="str">
        <f t="shared" ca="1" si="2"/>
        <v>Air to Water</v>
      </c>
      <c r="F98" s="339" t="str">
        <f t="shared" ca="1" si="3"/>
        <v>HP_</v>
      </c>
      <c r="G98" s="339" t="str">
        <f t="shared" ca="1" si="4"/>
        <v>B12</v>
      </c>
      <c r="H98" s="339" t="str">
        <f t="shared" ca="1" si="5"/>
        <v>HP_1!B12</v>
      </c>
    </row>
    <row r="99" spans="1:8" ht="36">
      <c r="A99" s="338" t="str">
        <f>HP_1!A13</f>
        <v>Temperature Control 
(refered to as Capacity Control in Ecodesign Standard Template)</v>
      </c>
      <c r="B99" s="343" t="str">
        <f>HP_1!B13</f>
        <v>Fixed Outlet</v>
      </c>
      <c r="C99" s="345" t="str" cm="1">
        <f t="array" aca="1" ref="C99" ca="1">INDIRECT($F99&amp;C$90&amp;"!"&amp;$G99)</f>
        <v>Fixed Outlet</v>
      </c>
      <c r="D99" s="345" t="str" cm="1">
        <f t="array" aca="1" ref="D99" ca="1">INDIRECT($F99&amp;D$90&amp;"!"&amp;$G99)</f>
        <v>Fixed Outlet</v>
      </c>
      <c r="E99" s="341" t="str">
        <f t="shared" ca="1" si="2"/>
        <v>Fixed Outlet</v>
      </c>
      <c r="F99" s="339" t="str">
        <f t="shared" ca="1" si="3"/>
        <v>HP_</v>
      </c>
      <c r="G99" s="339" t="str">
        <f t="shared" ca="1" si="4"/>
        <v>B13</v>
      </c>
      <c r="H99" s="339" t="str">
        <f t="shared" ca="1" si="5"/>
        <v>HP_1!B13</v>
      </c>
    </row>
    <row r="100" spans="1:8" ht="24">
      <c r="A100" s="338" t="str">
        <f>HP_1!A14</f>
        <v>Space Heating Test Standard</v>
      </c>
      <c r="B100" s="346" t="str">
        <f>HP_1!B14</f>
        <v>I.S. EN 14825</v>
      </c>
      <c r="C100" s="345" t="str" cm="1">
        <f t="array" aca="1" ref="C100" ca="1">INDIRECT($F100&amp;C$90&amp;"!"&amp;$G100)</f>
        <v>I.S. EN 14825</v>
      </c>
      <c r="D100" s="345" t="str" cm="1">
        <f t="array" aca="1" ref="D100" ca="1">INDIRECT($F100&amp;D$90&amp;"!"&amp;$G100)</f>
        <v>I.S. EN 14825</v>
      </c>
      <c r="E100" s="341" t="str">
        <f t="shared" ca="1" si="2"/>
        <v>I.S. EN 14825</v>
      </c>
      <c r="F100" s="339" t="str">
        <f t="shared" ca="1" si="3"/>
        <v>HP_</v>
      </c>
      <c r="G100" s="339" t="str">
        <f t="shared" ca="1" si="4"/>
        <v>B14</v>
      </c>
      <c r="H100" s="339" t="str">
        <f t="shared" ca="1" si="5"/>
        <v>HP_1!B14</v>
      </c>
    </row>
    <row r="101" spans="1:8">
      <c r="A101" s="338" t="str">
        <f>HP_1!A15</f>
        <v>Operation Limit Temperature (TOL)</v>
      </c>
      <c r="B101" s="347" t="str">
        <f>HP_1!B15</f>
        <v xml:space="preserve"> </v>
      </c>
      <c r="C101" s="345" cm="1">
        <f t="array" aca="1" ref="C101" ca="1">INDIRECT($F101&amp;C$90&amp;"!"&amp;$G101)</f>
        <v>0</v>
      </c>
      <c r="D101" s="345" cm="1">
        <f t="array" aca="1" ref="D101" ca="1">INDIRECT($F101&amp;D$90&amp;"!"&amp;$G101)</f>
        <v>0</v>
      </c>
      <c r="E101" s="341">
        <f t="shared" ca="1" si="2"/>
        <v>0</v>
      </c>
      <c r="F101" s="339" t="str">
        <f t="shared" ca="1" si="3"/>
        <v>HP_</v>
      </c>
      <c r="G101" s="339" t="str">
        <f t="shared" ca="1" si="4"/>
        <v>B15</v>
      </c>
      <c r="H101" s="339" t="str">
        <f t="shared" ca="1" si="5"/>
        <v>HP_1!B15</v>
      </c>
    </row>
    <row r="102" spans="1:8" ht="24">
      <c r="A102" s="338" t="str">
        <f>HP_1!A16</f>
        <v>Heating water operating limit temperature (WTOL)</v>
      </c>
      <c r="B102" s="347" t="str">
        <f>HP_1!B16</f>
        <v xml:space="preserve"> </v>
      </c>
      <c r="C102" s="345" cm="1">
        <f t="array" aca="1" ref="C102" ca="1">INDIRECT($F102&amp;C$90&amp;"!"&amp;$G102)</f>
        <v>0</v>
      </c>
      <c r="D102" s="345" cm="1">
        <f t="array" aca="1" ref="D102" ca="1">INDIRECT($F102&amp;D$90&amp;"!"&amp;$G102)</f>
        <v>0</v>
      </c>
      <c r="E102" s="341">
        <f t="shared" ca="1" si="2"/>
        <v>0</v>
      </c>
      <c r="F102" s="339" t="str">
        <f t="shared" ca="1" si="3"/>
        <v>HP_</v>
      </c>
      <c r="G102" s="339" t="str">
        <f t="shared" ca="1" si="4"/>
        <v>B16</v>
      </c>
      <c r="H102" s="339" t="str">
        <f t="shared" ca="1" si="5"/>
        <v>HP_1!B16</v>
      </c>
    </row>
    <row r="103" spans="1:8" ht="24">
      <c r="A103" s="338" t="str">
        <f>HP_1!A17</f>
        <v>Annual space heating provided by Heat Pump</v>
      </c>
      <c r="B103" s="346">
        <f>HP_1!B17</f>
        <v>0</v>
      </c>
      <c r="C103" s="345" cm="1">
        <f t="array" aca="1" ref="C103" ca="1">INDIRECT($F103&amp;C$90&amp;"!"&amp;$G103)</f>
        <v>0</v>
      </c>
      <c r="D103" s="345" cm="1">
        <f t="array" aca="1" ref="D103" ca="1">INDIRECT($F103&amp;D$90&amp;"!"&amp;$G103)</f>
        <v>0</v>
      </c>
      <c r="E103" s="340">
        <f t="shared" ca="1" si="2"/>
        <v>0</v>
      </c>
      <c r="F103" s="339" t="str">
        <f t="shared" ca="1" si="3"/>
        <v>HP_</v>
      </c>
      <c r="G103" s="339" t="str">
        <f t="shared" ca="1" si="4"/>
        <v>B17</v>
      </c>
      <c r="H103" s="339" t="str">
        <f t="shared" ca="1" si="5"/>
        <v>HP_1!B17</v>
      </c>
    </row>
    <row r="104" spans="1:8">
      <c r="A104" s="338" t="str">
        <f>HP_1!A18</f>
        <v>Design Outdoor Temperature</v>
      </c>
      <c r="B104" s="343">
        <f>HP_1!B18</f>
        <v>-3</v>
      </c>
      <c r="C104" s="345" cm="1">
        <f t="array" aca="1" ref="C104" ca="1">INDIRECT($F104&amp;C$90&amp;"!"&amp;$G104)</f>
        <v>-3</v>
      </c>
      <c r="D104" s="345" cm="1">
        <f t="array" aca="1" ref="D104" ca="1">INDIRECT($F104&amp;D$90&amp;"!"&amp;$G104)</f>
        <v>-3</v>
      </c>
      <c r="E104" s="341">
        <f t="shared" ca="1" si="2"/>
        <v>-3</v>
      </c>
      <c r="F104" s="339" t="str">
        <f t="shared" ca="1" si="3"/>
        <v>HP_</v>
      </c>
      <c r="G104" s="339" t="str">
        <f t="shared" ca="1" si="4"/>
        <v>B18</v>
      </c>
      <c r="H104" s="339" t="str">
        <f t="shared" ca="1" si="5"/>
        <v>HP_1!B18</v>
      </c>
    </row>
    <row r="105" spans="1:8" ht="60">
      <c r="A105" s="338" t="str">
        <f>HP_1!A19</f>
        <v>Indoor Design Temperature (Mean Internal Temperature)</v>
      </c>
      <c r="B105" s="348" t="str">
        <f>HP_1!B19</f>
        <v>Please complete DEAP Entries tab</v>
      </c>
      <c r="C105" s="345" t="str" cm="1">
        <f t="array" aca="1" ref="C105" ca="1">INDIRECT($F105&amp;C$90&amp;"!"&amp;$G105)</f>
        <v>Please complete DEAP Entries tab</v>
      </c>
      <c r="D105" s="345" t="str" cm="1">
        <f t="array" aca="1" ref="D105" ca="1">INDIRECT($F105&amp;D$90&amp;"!"&amp;$G105)</f>
        <v>Please complete DEAP Entries tab</v>
      </c>
      <c r="E105" s="341" t="str">
        <f t="shared" ca="1" si="2"/>
        <v>Please complete DEAP Entries tab</v>
      </c>
      <c r="F105" s="339" t="str">
        <f t="shared" ca="1" si="3"/>
        <v>HP_</v>
      </c>
      <c r="G105" s="339" t="str">
        <f t="shared" ca="1" si="4"/>
        <v>B19</v>
      </c>
      <c r="H105" s="339" t="str">
        <f t="shared" ca="1" si="5"/>
        <v>HP_1!B19</v>
      </c>
    </row>
    <row r="106" spans="1:8">
      <c r="A106" s="338" t="str">
        <f>HP_1!A24</f>
        <v>Air used as Emitter (to Air Units)</v>
      </c>
      <c r="B106" s="343" t="str">
        <f>HP_1!B24</f>
        <v>No</v>
      </c>
      <c r="C106" s="345" t="str" cm="1">
        <f t="array" aca="1" ref="C106" ca="1">INDIRECT($F106&amp;C$90&amp;"!"&amp;$G106)</f>
        <v>No</v>
      </c>
      <c r="D106" s="345" t="str" cm="1">
        <f t="array" aca="1" ref="D106" ca="1">INDIRECT($F106&amp;D$90&amp;"!"&amp;$G106)</f>
        <v>No</v>
      </c>
      <c r="E106" s="341" t="str">
        <f t="shared" ca="1" si="2"/>
        <v>No</v>
      </c>
      <c r="F106" s="339" t="str">
        <f t="shared" ca="1" si="3"/>
        <v>HP_</v>
      </c>
      <c r="G106" s="339" t="str">
        <f t="shared" ca="1" si="4"/>
        <v>B24</v>
      </c>
      <c r="H106" s="339" t="str">
        <f t="shared" ca="1" si="5"/>
        <v>HP_1!B24</v>
      </c>
    </row>
    <row r="107" spans="1:8" ht="36">
      <c r="A107" s="338" t="str">
        <f>HP_1!A25</f>
        <v>Design Flow Temperature
Use "Default Supply Temperature" unless other evidence available</v>
      </c>
      <c r="B107" s="343">
        <f>HP_1!B25</f>
        <v>0</v>
      </c>
      <c r="C107" s="345" cm="1">
        <f t="array" aca="1" ref="C107" ca="1">INDIRECT($F107&amp;C$90&amp;"!"&amp;$G107)</f>
        <v>0</v>
      </c>
      <c r="D107" s="345" cm="1">
        <f t="array" aca="1" ref="D107" ca="1">INDIRECT($F107&amp;D$90&amp;"!"&amp;$G107)</f>
        <v>0</v>
      </c>
      <c r="E107" s="341">
        <f t="shared" ca="1" si="2"/>
        <v>0</v>
      </c>
      <c r="F107" s="339" t="str">
        <f t="shared" ca="1" si="3"/>
        <v>HP_</v>
      </c>
      <c r="G107" s="339" t="str">
        <f t="shared" ca="1" si="4"/>
        <v>B25</v>
      </c>
      <c r="H107" s="339" t="str">
        <f t="shared" ca="1" si="5"/>
        <v>HP_1!B25</v>
      </c>
    </row>
    <row r="108" spans="1:8" ht="24">
      <c r="A108" s="338" t="str">
        <f>HP_1!A26</f>
        <v>Exponent n, characterising type of emission system</v>
      </c>
      <c r="B108" s="343">
        <f>HP_1!B26</f>
        <v>1.2</v>
      </c>
      <c r="C108" s="345" cm="1">
        <f t="array" aca="1" ref="C108" ca="1">INDIRECT($F108&amp;C$90&amp;"!"&amp;$G108)</f>
        <v>1.2</v>
      </c>
      <c r="D108" s="345" cm="1">
        <f t="array" aca="1" ref="D108" ca="1">INDIRECT($F108&amp;D$90&amp;"!"&amp;$G108)</f>
        <v>1.2</v>
      </c>
      <c r="E108" s="341">
        <f t="shared" ca="1" si="2"/>
        <v>1.2</v>
      </c>
      <c r="F108" s="339" t="str">
        <f t="shared" ca="1" si="3"/>
        <v>HP_</v>
      </c>
      <c r="G108" s="339" t="str">
        <f t="shared" ca="1" si="4"/>
        <v>B26</v>
      </c>
      <c r="H108" s="339" t="str">
        <f t="shared" ca="1" si="5"/>
        <v>HP_1!B26</v>
      </c>
    </row>
    <row r="109" spans="1:8">
      <c r="A109" s="338" t="str">
        <f>HP_1!A27</f>
        <v>Emitter Temperature Drop</v>
      </c>
      <c r="B109" s="343">
        <f>HP_1!B27</f>
        <v>10</v>
      </c>
      <c r="C109" s="345" cm="1">
        <f t="array" aca="1" ref="C109" ca="1">INDIRECT($F109&amp;C$90&amp;"!"&amp;$G109)</f>
        <v>10</v>
      </c>
      <c r="D109" s="345" cm="1">
        <f t="array" aca="1" ref="D109" ca="1">INDIRECT($F109&amp;D$90&amp;"!"&amp;$G109)</f>
        <v>10</v>
      </c>
      <c r="E109" s="341">
        <f t="shared" ca="1" si="2"/>
        <v>10</v>
      </c>
      <c r="F109" s="339" t="str">
        <f t="shared" ca="1" si="3"/>
        <v>HP_</v>
      </c>
      <c r="G109" s="339" t="str">
        <f t="shared" ca="1" si="4"/>
        <v>B27</v>
      </c>
      <c r="H109" s="339" t="str">
        <f t="shared" ca="1" si="5"/>
        <v>HP_1!B27</v>
      </c>
    </row>
    <row r="110" spans="1:8">
      <c r="A110" s="338" t="str">
        <f>HP_1!A28</f>
        <v>Return Temperature at design conditions</v>
      </c>
      <c r="B110" s="343">
        <f>HP_1!B28</f>
        <v>-10</v>
      </c>
      <c r="C110" s="345" cm="1">
        <f t="array" aca="1" ref="C110" ca="1">INDIRECT($F110&amp;C$90&amp;"!"&amp;$G110)</f>
        <v>-10</v>
      </c>
      <c r="D110" s="345" cm="1">
        <f t="array" aca="1" ref="D110" ca="1">INDIRECT($F110&amp;D$90&amp;"!"&amp;$G110)</f>
        <v>-10</v>
      </c>
      <c r="E110" s="341">
        <f t="shared" ca="1" si="2"/>
        <v>-10</v>
      </c>
      <c r="F110" s="339" t="str">
        <f t="shared" ca="1" si="3"/>
        <v>HP_</v>
      </c>
      <c r="G110" s="339" t="str">
        <f t="shared" ca="1" si="4"/>
        <v>B28</v>
      </c>
      <c r="H110" s="339" t="str">
        <f t="shared" ca="1" si="5"/>
        <v>HP_1!B28</v>
      </c>
    </row>
    <row r="111" spans="1:8">
      <c r="A111" s="338" t="str">
        <f>HP_1!A29</f>
        <v>No of Hrs per Day Heat Pump in Operation</v>
      </c>
      <c r="B111" s="347">
        <f>HP_1!B29</f>
        <v>8</v>
      </c>
      <c r="C111" s="345" cm="1">
        <f t="array" aca="1" ref="C111" ca="1">INDIRECT($F111&amp;C$90&amp;"!"&amp;$G111)</f>
        <v>8</v>
      </c>
      <c r="D111" s="345" cm="1">
        <f t="array" aca="1" ref="D111" ca="1">INDIRECT($F111&amp;D$90&amp;"!"&amp;$G111)</f>
        <v>8</v>
      </c>
      <c r="E111" s="341">
        <f t="shared" ca="1" si="2"/>
        <v>8</v>
      </c>
      <c r="F111" s="339" t="str">
        <f t="shared" ca="1" si="3"/>
        <v>HP_</v>
      </c>
      <c r="G111" s="339" t="str">
        <f t="shared" ca="1" si="4"/>
        <v>B29</v>
      </c>
      <c r="H111" s="339" t="str">
        <f t="shared" ca="1" si="5"/>
        <v>HP_1!B29</v>
      </c>
    </row>
    <row r="112" spans="1:8">
      <c r="A112" s="338" t="str">
        <f>HP_1!A30</f>
        <v>Cut-out hours</v>
      </c>
      <c r="B112" s="343">
        <f>HP_1!B30</f>
        <v>16</v>
      </c>
      <c r="C112" s="345" cm="1">
        <f t="array" aca="1" ref="C112" ca="1">INDIRECT($F112&amp;C$90&amp;"!"&amp;$G112)</f>
        <v>16</v>
      </c>
      <c r="D112" s="345" cm="1">
        <f t="array" aca="1" ref="D112" ca="1">INDIRECT($F112&amp;D$90&amp;"!"&amp;$G112)</f>
        <v>16</v>
      </c>
      <c r="E112" s="341">
        <f t="shared" ca="1" si="2"/>
        <v>16</v>
      </c>
      <c r="F112" s="339" t="str">
        <f t="shared" ca="1" si="3"/>
        <v>HP_</v>
      </c>
      <c r="G112" s="339" t="str">
        <f t="shared" ca="1" si="4"/>
        <v>B30</v>
      </c>
      <c r="H112" s="339" t="str">
        <f t="shared" ca="1" si="5"/>
        <v>HP_1!B30</v>
      </c>
    </row>
    <row r="113" spans="1:8">
      <c r="A113" s="338" t="str">
        <f>HP_1!A31</f>
        <v>Heat pump fuel primary energy factor</v>
      </c>
      <c r="B113" s="343">
        <f>HP_1!B31</f>
        <v>2.08</v>
      </c>
      <c r="C113" s="345" cm="1">
        <f t="array" aca="1" ref="C113" ca="1">INDIRECT($F113&amp;C$90&amp;"!"&amp;$G113)</f>
        <v>2.08</v>
      </c>
      <c r="D113" s="345" cm="1">
        <f t="array" aca="1" ref="D113" ca="1">INDIRECT($F113&amp;D$90&amp;"!"&amp;$G113)</f>
        <v>2.08</v>
      </c>
      <c r="E113" s="341">
        <f t="shared" ca="1" si="2"/>
        <v>2.08</v>
      </c>
      <c r="F113" s="339" t="str">
        <f t="shared" ca="1" si="3"/>
        <v>HP_</v>
      </c>
      <c r="G113" s="339" t="str">
        <f t="shared" ca="1" si="4"/>
        <v>B31</v>
      </c>
      <c r="H113" s="339" t="str">
        <f t="shared" ca="1" si="5"/>
        <v>HP_1!B31</v>
      </c>
    </row>
    <row r="114" spans="1:8" ht="24">
      <c r="A114" s="338" t="str">
        <f>HP_1!A32</f>
        <v>Is a Back Up Space Heater Present within Dwelling</v>
      </c>
      <c r="B114" s="343" t="str">
        <f>HP_1!B32</f>
        <v>No</v>
      </c>
      <c r="C114" s="345" t="str" cm="1">
        <f t="array" aca="1" ref="C114" ca="1">INDIRECT($F114&amp;C$90&amp;"!"&amp;$G114)</f>
        <v>No</v>
      </c>
      <c r="D114" s="345" t="str" cm="1">
        <f t="array" aca="1" ref="D114" ca="1">INDIRECT($F114&amp;D$90&amp;"!"&amp;$G114)</f>
        <v>No</v>
      </c>
      <c r="E114" s="341" t="str">
        <f t="shared" ca="1" si="2"/>
        <v>No</v>
      </c>
      <c r="F114" s="339" t="str">
        <f t="shared" ca="1" si="3"/>
        <v>HP_</v>
      </c>
      <c r="G114" s="339" t="str">
        <f t="shared" ca="1" si="4"/>
        <v>B32</v>
      </c>
      <c r="H114" s="339" t="str">
        <f t="shared" ca="1" si="5"/>
        <v>HP_1!B32</v>
      </c>
    </row>
    <row r="115" spans="1:8">
      <c r="A115" s="338" t="str">
        <f>HP_1!A33</f>
        <v>Back Up Space Heater Fuel</v>
      </c>
      <c r="B115" s="343" t="str">
        <f>HP_1!B33</f>
        <v>Electricity</v>
      </c>
      <c r="C115" s="345" t="str" cm="1">
        <f t="array" aca="1" ref="C115" ca="1">INDIRECT($F115&amp;C$90&amp;"!"&amp;$G115)</f>
        <v>Electricity</v>
      </c>
      <c r="D115" s="345" t="str" cm="1">
        <f t="array" aca="1" ref="D115" ca="1">INDIRECT($F115&amp;D$90&amp;"!"&amp;$G115)</f>
        <v>Electricity</v>
      </c>
      <c r="E115" s="341" t="str">
        <f t="shared" ca="1" si="2"/>
        <v>Electricity</v>
      </c>
      <c r="F115" s="339" t="str">
        <f t="shared" ca="1" si="3"/>
        <v>HP_</v>
      </c>
      <c r="G115" s="339" t="str">
        <f t="shared" ca="1" si="4"/>
        <v>B33</v>
      </c>
      <c r="H115" s="339" t="str">
        <f t="shared" ca="1" si="5"/>
        <v>HP_1!B33</v>
      </c>
    </row>
    <row r="116" spans="1:8" ht="24">
      <c r="A116" s="338" t="str">
        <f>HP_1!A34</f>
        <v>Primary Energy Factor for Back Up Space Heater</v>
      </c>
      <c r="B116" s="343">
        <f>HP_1!B34</f>
        <v>2.08</v>
      </c>
      <c r="C116" s="345" cm="1">
        <f t="array" aca="1" ref="C116" ca="1">INDIRECT($F116&amp;C$90&amp;"!"&amp;$G116)</f>
        <v>2.08</v>
      </c>
      <c r="D116" s="345" cm="1">
        <f t="array" aca="1" ref="D116" ca="1">INDIRECT($F116&amp;D$90&amp;"!"&amp;$G116)</f>
        <v>2.08</v>
      </c>
      <c r="E116" s="341">
        <f t="shared" ca="1" si="2"/>
        <v>2.08</v>
      </c>
      <c r="F116" s="339" t="str">
        <f t="shared" ca="1" si="3"/>
        <v>HP_</v>
      </c>
      <c r="G116" s="339" t="str">
        <f t="shared" ca="1" si="4"/>
        <v>B34</v>
      </c>
      <c r="H116" s="339" t="str">
        <f t="shared" ca="1" si="5"/>
        <v>HP_1!B34</v>
      </c>
    </row>
    <row r="117" spans="1:8">
      <c r="A117" s="338" t="str">
        <f>HP_1!A35</f>
        <v>Efficiency of Back up Space Heater</v>
      </c>
      <c r="B117" s="343">
        <f>HP_1!B35</f>
        <v>0</v>
      </c>
      <c r="C117" s="345" cm="1">
        <f t="array" aca="1" ref="C117" ca="1">INDIRECT($F117&amp;C$90&amp;"!"&amp;$G117)</f>
        <v>0</v>
      </c>
      <c r="D117" s="345" cm="1">
        <f t="array" aca="1" ref="D117" ca="1">INDIRECT($F117&amp;D$90&amp;"!"&amp;$G117)</f>
        <v>0</v>
      </c>
      <c r="E117" s="341">
        <f t="shared" ca="1" si="2"/>
        <v>0</v>
      </c>
      <c r="F117" s="339" t="str">
        <f t="shared" ca="1" si="3"/>
        <v>HP_</v>
      </c>
      <c r="G117" s="339" t="str">
        <f t="shared" ca="1" si="4"/>
        <v>B35</v>
      </c>
      <c r="H117" s="339" t="str">
        <f t="shared" ca="1" si="5"/>
        <v>HP_1!B35</v>
      </c>
    </row>
    <row r="118" spans="1:8" ht="24">
      <c r="A118" s="338" t="str">
        <f>HP_1!A36</f>
        <v>Adjusted Efficiency of Back up Space Heater relative to fuel used for heat pump</v>
      </c>
      <c r="B118" s="349">
        <f>HP_1!B36</f>
        <v>1</v>
      </c>
      <c r="C118" s="345" cm="1">
        <f t="array" aca="1" ref="C118" ca="1">INDIRECT($F118&amp;C$90&amp;"!"&amp;$G118)</f>
        <v>1</v>
      </c>
      <c r="D118" s="345" cm="1">
        <f t="array" aca="1" ref="D118" ca="1">INDIRECT($F118&amp;D$90&amp;"!"&amp;$G118)</f>
        <v>1</v>
      </c>
      <c r="E118" s="342">
        <f t="shared" ca="1" si="2"/>
        <v>1</v>
      </c>
      <c r="F118" s="339" t="str">
        <f t="shared" ca="1" si="3"/>
        <v>HP_</v>
      </c>
      <c r="G118" s="339" t="str">
        <f t="shared" ca="1" si="4"/>
        <v>B36</v>
      </c>
      <c r="H118" s="339" t="str">
        <f t="shared" ca="1" si="5"/>
        <v>HP_1!B36</v>
      </c>
    </row>
    <row r="119" spans="1:8" ht="24">
      <c r="A119" s="338" t="str">
        <f>HP_1!A65</f>
        <v>Type of heat pump</v>
      </c>
      <c r="B119" s="349" t="str">
        <f>HP_1!B65</f>
        <v>Air to Water</v>
      </c>
      <c r="C119" s="345" t="str" cm="1">
        <f t="array" aca="1" ref="C119" ca="1">INDIRECT($F119&amp;C$90&amp;"!"&amp;$G119)</f>
        <v>Air to Water</v>
      </c>
      <c r="D119" s="345" t="str" cm="1">
        <f t="array" aca="1" ref="D119" ca="1">INDIRECT($F119&amp;D$90&amp;"!"&amp;$G119)</f>
        <v>Air to Water</v>
      </c>
      <c r="E119" s="342" t="str">
        <f t="shared" ca="1" si="2"/>
        <v>Air to Water</v>
      </c>
      <c r="F119" s="339" t="str">
        <f t="shared" ca="1" si="3"/>
        <v>HP_</v>
      </c>
      <c r="G119" s="339" t="str">
        <f t="shared" ca="1" si="4"/>
        <v>B65</v>
      </c>
      <c r="H119" s="339" t="str">
        <f t="shared" ca="1" si="5"/>
        <v>HP_1!B65</v>
      </c>
    </row>
    <row r="120" spans="1:8" ht="36">
      <c r="A120" s="338" t="str">
        <f>HP_1!A66</f>
        <v>Temperature Control 
(refered to as Capacity Control in Ecodesign Standard Template)</v>
      </c>
      <c r="B120" s="349" t="str">
        <f>HP_1!B66</f>
        <v>Fixed Outlet</v>
      </c>
      <c r="C120" s="345" t="str" cm="1">
        <f t="array" aca="1" ref="C120" ca="1">INDIRECT($F120&amp;C$90&amp;"!"&amp;$G120)</f>
        <v>Fixed Outlet</v>
      </c>
      <c r="D120" s="345" t="str" cm="1">
        <f t="array" aca="1" ref="D120" ca="1">INDIRECT($F120&amp;D$90&amp;"!"&amp;$G120)</f>
        <v>Fixed Outlet</v>
      </c>
      <c r="E120" s="342" t="str">
        <f t="shared" ca="1" si="2"/>
        <v>Fixed Outlet</v>
      </c>
      <c r="F120" s="339" t="str">
        <f t="shared" ca="1" si="3"/>
        <v>HP_</v>
      </c>
      <c r="G120" s="339" t="str">
        <f t="shared" ca="1" si="4"/>
        <v>B66</v>
      </c>
      <c r="H120" s="339" t="str">
        <f t="shared" ca="1" si="5"/>
        <v>HP_1!B66</v>
      </c>
    </row>
    <row r="121" spans="1:8" ht="108">
      <c r="A121" s="338" t="str">
        <f>HP_1!A67</f>
        <v>Describe the water heating heat pump arrangement</v>
      </c>
      <c r="B121" s="349" t="str">
        <f>HP_1!B67</f>
        <v>Same Heat Pump providing Space Heating and Domestic Hot Water</v>
      </c>
      <c r="C121" s="345" t="str" cm="1">
        <f t="array" aca="1" ref="C121" ca="1">INDIRECT($F121&amp;C$90&amp;"!"&amp;$G121)</f>
        <v>Same Heat Pump providing Space Heating and Domestic Hot Water</v>
      </c>
      <c r="D121" s="345" t="str" cm="1">
        <f t="array" aca="1" ref="D121" ca="1">INDIRECT($F121&amp;D$90&amp;"!"&amp;$G121)</f>
        <v>Same Heat Pump providing Space Heating and Domestic Hot Water</v>
      </c>
      <c r="E121" s="342" t="str">
        <f t="shared" ca="1" si="2"/>
        <v>Same Heat Pump providing Space Heating and Domestic Hot Water</v>
      </c>
      <c r="F121" s="339" t="str">
        <f t="shared" ca="1" si="3"/>
        <v>HP_</v>
      </c>
      <c r="G121" s="339" t="str">
        <f t="shared" ca="1" si="4"/>
        <v>B67</v>
      </c>
      <c r="H121" s="339" t="str">
        <f t="shared" ca="1" si="5"/>
        <v>HP_1!B67</v>
      </c>
    </row>
    <row r="122" spans="1:8" ht="24">
      <c r="A122" s="338" t="str">
        <f>HP_1!A68</f>
        <v>Water Heating Test Standard</v>
      </c>
      <c r="B122" s="349" t="str">
        <f>HP_1!B68</f>
        <v>I.S. EN 16147</v>
      </c>
      <c r="C122" s="345" t="str" cm="1">
        <f t="array" aca="1" ref="C122" ca="1">INDIRECT($F122&amp;C$90&amp;"!"&amp;$G122)</f>
        <v>I.S. EN 16147</v>
      </c>
      <c r="D122" s="345" t="str" cm="1">
        <f t="array" aca="1" ref="D122" ca="1">INDIRECT($F122&amp;D$90&amp;"!"&amp;$G122)</f>
        <v>I.S. EN 16147</v>
      </c>
      <c r="E122" s="342" t="str">
        <f t="shared" ca="1" si="2"/>
        <v>I.S. EN 16147</v>
      </c>
      <c r="F122" s="339" t="str">
        <f t="shared" ca="1" si="3"/>
        <v>HP_</v>
      </c>
      <c r="G122" s="339" t="str">
        <f t="shared" ca="1" si="4"/>
        <v>B68</v>
      </c>
      <c r="H122" s="339" t="str">
        <f t="shared" ca="1" si="5"/>
        <v>HP_1!B68</v>
      </c>
    </row>
    <row r="123" spans="1:8">
      <c r="A123" s="338" t="str">
        <f>HP_1!A69</f>
        <v>Output from Main Water Heater</v>
      </c>
      <c r="B123" s="350">
        <f>HP_1!B69</f>
        <v>0</v>
      </c>
      <c r="C123" s="345" cm="1">
        <f t="array" aca="1" ref="C123" ca="1">INDIRECT($F123&amp;C$90&amp;"!"&amp;$G123)</f>
        <v>0</v>
      </c>
      <c r="D123" s="345" cm="1">
        <f t="array" aca="1" ref="D123" ca="1">INDIRECT($F123&amp;D$90&amp;"!"&amp;$G123)</f>
        <v>0</v>
      </c>
      <c r="E123" s="344">
        <f t="shared" ca="1" si="2"/>
        <v>0</v>
      </c>
      <c r="F123" s="339" t="str">
        <f t="shared" ca="1" si="3"/>
        <v>HP_</v>
      </c>
      <c r="G123" s="339" t="str">
        <f t="shared" ca="1" si="4"/>
        <v>B69</v>
      </c>
      <c r="H123" s="339" t="str">
        <f t="shared" ca="1" si="5"/>
        <v>HP_1!B69</v>
      </c>
    </row>
    <row r="124" spans="1:8" ht="36">
      <c r="A124" s="338" t="str">
        <f>HP_1!A70</f>
        <v>Type of DHW</v>
      </c>
      <c r="B124" s="350" t="str">
        <f>HP_1!B70</f>
        <v>Separate Hot Water Storage</v>
      </c>
      <c r="C124" s="345" t="str" cm="1">
        <f t="array" aca="1" ref="C124" ca="1">INDIRECT($F124&amp;C$90&amp;"!"&amp;$G124)</f>
        <v>Separate Hot Water Storage</v>
      </c>
      <c r="D124" s="345" t="str" cm="1">
        <f t="array" aca="1" ref="D124" ca="1">INDIRECT($F124&amp;D$90&amp;"!"&amp;$G124)</f>
        <v>Separate Hot Water Storage</v>
      </c>
      <c r="E124" s="342" t="str">
        <f t="shared" ca="1" si="2"/>
        <v>Separate Hot Water Storage</v>
      </c>
      <c r="F124" s="339" t="str">
        <f t="shared" ca="1" si="3"/>
        <v>HP_</v>
      </c>
      <c r="G124" s="339" t="str">
        <f t="shared" ca="1" si="4"/>
        <v>B70</v>
      </c>
      <c r="H124" s="339" t="str">
        <f t="shared" ca="1" si="5"/>
        <v>HP_1!B70</v>
      </c>
    </row>
    <row r="125" spans="1:8">
      <c r="A125" s="338" t="str">
        <f>HP_1!A71</f>
        <v>Cold Water Inlet Temperature</v>
      </c>
      <c r="B125" s="350">
        <f>HP_1!B71</f>
        <v>10</v>
      </c>
      <c r="C125" s="345" cm="1">
        <f t="array" aca="1" ref="C125" ca="1">INDIRECT($F125&amp;C$90&amp;"!"&amp;$G125)</f>
        <v>10</v>
      </c>
      <c r="D125" s="345" cm="1">
        <f t="array" aca="1" ref="D125" ca="1">INDIRECT($F125&amp;D$90&amp;"!"&amp;$G125)</f>
        <v>10</v>
      </c>
      <c r="E125" s="344">
        <f t="shared" ca="1" si="2"/>
        <v>10</v>
      </c>
      <c r="F125" s="339" t="str">
        <f t="shared" ca="1" si="3"/>
        <v>HP_</v>
      </c>
      <c r="G125" s="339" t="str">
        <f t="shared" ca="1" si="4"/>
        <v>B71</v>
      </c>
      <c r="H125" s="339" t="str">
        <f t="shared" ca="1" si="5"/>
        <v>HP_1!B71</v>
      </c>
    </row>
    <row r="126" spans="1:8" ht="24">
      <c r="A126" s="338" t="str">
        <f>HP_1!A72</f>
        <v>Required Flow Temperature from Heat Pump to Hot Water Storage</v>
      </c>
      <c r="B126" s="350">
        <f>HP_1!B72</f>
        <v>65</v>
      </c>
      <c r="C126" s="345" cm="1">
        <f t="array" aca="1" ref="C126" ca="1">INDIRECT($F126&amp;C$90&amp;"!"&amp;$G126)</f>
        <v>65</v>
      </c>
      <c r="D126" s="345" cm="1">
        <f t="array" aca="1" ref="D126" ca="1">INDIRECT($F126&amp;D$90&amp;"!"&amp;$G126)</f>
        <v>65</v>
      </c>
      <c r="E126" s="344">
        <f t="shared" ca="1" si="2"/>
        <v>65</v>
      </c>
      <c r="F126" s="339" t="str">
        <f t="shared" ca="1" si="3"/>
        <v>HP_</v>
      </c>
      <c r="G126" s="339" t="str">
        <f t="shared" ca="1" si="4"/>
        <v>B72</v>
      </c>
      <c r="H126" s="339" t="str">
        <f t="shared" ca="1" si="5"/>
        <v>HP_1!B72</v>
      </c>
    </row>
    <row r="127" spans="1:8">
      <c r="A127" s="338" t="str">
        <f>HP_1!A73</f>
        <v>Volume of DHW Storage</v>
      </c>
      <c r="B127" s="350">
        <f>HP_1!B73</f>
        <v>0</v>
      </c>
      <c r="C127" s="345" cm="1">
        <f t="array" aca="1" ref="C127" ca="1">INDIRECT($F127&amp;C$90&amp;"!"&amp;$G127)</f>
        <v>0</v>
      </c>
      <c r="D127" s="345" cm="1">
        <f t="array" aca="1" ref="D127" ca="1">INDIRECT($F127&amp;D$90&amp;"!"&amp;$G127)</f>
        <v>0</v>
      </c>
      <c r="E127" s="344">
        <f t="shared" ca="1" si="2"/>
        <v>0</v>
      </c>
      <c r="F127" s="339" t="str">
        <f t="shared" ca="1" si="3"/>
        <v>HP_</v>
      </c>
      <c r="G127" s="339" t="str">
        <f t="shared" ca="1" si="4"/>
        <v>B73</v>
      </c>
      <c r="H127" s="339" t="str">
        <f t="shared" ca="1" si="5"/>
        <v>HP_1!B73</v>
      </c>
    </row>
    <row r="128" spans="1:8" ht="24">
      <c r="A128" s="338" t="str">
        <f>HP_1!A74</f>
        <v>Is there a water heater installed as back up for the heat pump</v>
      </c>
      <c r="B128" s="350" t="str">
        <f>HP_1!B74</f>
        <v>No</v>
      </c>
      <c r="C128" s="345" t="str" cm="1">
        <f t="array" aca="1" ref="C128" ca="1">INDIRECT($F128&amp;C$90&amp;"!"&amp;$G128)</f>
        <v>No</v>
      </c>
      <c r="D128" s="345" t="str" cm="1">
        <f t="array" aca="1" ref="D128" ca="1">INDIRECT($F128&amp;D$90&amp;"!"&amp;$G128)</f>
        <v>No</v>
      </c>
      <c r="E128" s="342" t="str">
        <f t="shared" ca="1" si="2"/>
        <v>No</v>
      </c>
      <c r="F128" s="339" t="str">
        <f t="shared" ca="1" si="3"/>
        <v>HP_</v>
      </c>
      <c r="G128" s="339" t="str">
        <f t="shared" ca="1" si="4"/>
        <v>B74</v>
      </c>
      <c r="H128" s="339" t="str">
        <f t="shared" ca="1" si="5"/>
        <v>HP_1!B74</v>
      </c>
    </row>
    <row r="129" spans="1:8">
      <c r="A129" s="338" t="str">
        <f>HP_1!A75</f>
        <v>Back Up Water Heater Fuel</v>
      </c>
      <c r="B129" s="350" t="str">
        <f>HP_1!B75</f>
        <v>Electricity</v>
      </c>
      <c r="C129" s="345" t="str" cm="1">
        <f t="array" aca="1" ref="C129" ca="1">INDIRECT($F129&amp;C$90&amp;"!"&amp;$G129)</f>
        <v>Electricity</v>
      </c>
      <c r="D129" s="345" t="str" cm="1">
        <f t="array" aca="1" ref="D129" ca="1">INDIRECT($F129&amp;D$90&amp;"!"&amp;$G129)</f>
        <v>Electricity</v>
      </c>
      <c r="E129" s="342" t="str">
        <f t="shared" ca="1" si="2"/>
        <v>Electricity</v>
      </c>
      <c r="F129" s="339" t="str">
        <f t="shared" ca="1" si="3"/>
        <v>HP_</v>
      </c>
      <c r="G129" s="339" t="str">
        <f t="shared" ca="1" si="4"/>
        <v>B75</v>
      </c>
      <c r="H129" s="339" t="str">
        <f t="shared" ca="1" si="5"/>
        <v>HP_1!B75</v>
      </c>
    </row>
    <row r="130" spans="1:8" ht="24">
      <c r="A130" s="338" t="str">
        <f>HP_1!A76</f>
        <v>Primary Energy Factor for Back Up Water Heater</v>
      </c>
      <c r="B130" s="350">
        <f>HP_1!B76</f>
        <v>2.08</v>
      </c>
      <c r="C130" s="345" cm="1">
        <f t="array" aca="1" ref="C130" ca="1">INDIRECT($F130&amp;C$90&amp;"!"&amp;$G130)</f>
        <v>2.08</v>
      </c>
      <c r="D130" s="345" cm="1">
        <f t="array" aca="1" ref="D130" ca="1">INDIRECT($F130&amp;D$90&amp;"!"&amp;$G130)</f>
        <v>2.08</v>
      </c>
      <c r="E130" s="344">
        <f t="shared" ca="1" si="2"/>
        <v>2.08</v>
      </c>
      <c r="F130" s="339" t="str">
        <f t="shared" ca="1" si="3"/>
        <v>HP_</v>
      </c>
      <c r="G130" s="339" t="str">
        <f t="shared" ca="1" si="4"/>
        <v>B76</v>
      </c>
      <c r="H130" s="339" t="str">
        <f t="shared" ca="1" si="5"/>
        <v>HP_1!B76</v>
      </c>
    </row>
    <row r="131" spans="1:8">
      <c r="A131" s="338" t="str">
        <f>HP_1!A77</f>
        <v>Efficiency of Back up Water Heater</v>
      </c>
      <c r="B131" s="350">
        <f>HP_1!B77</f>
        <v>0</v>
      </c>
      <c r="C131" s="345" cm="1">
        <f t="array" aca="1" ref="C131" ca="1">INDIRECT($F131&amp;C$90&amp;"!"&amp;$G131)</f>
        <v>0</v>
      </c>
      <c r="D131" s="345" cm="1">
        <f t="array" aca="1" ref="D131" ca="1">INDIRECT($F131&amp;D$90&amp;"!"&amp;$G131)</f>
        <v>0</v>
      </c>
      <c r="E131" s="342">
        <f t="shared" ca="1" si="2"/>
        <v>0</v>
      </c>
      <c r="F131" s="339" t="str">
        <f t="shared" ca="1" si="3"/>
        <v>HP_</v>
      </c>
      <c r="G131" s="339" t="str">
        <f t="shared" ca="1" si="4"/>
        <v>B77</v>
      </c>
      <c r="H131" s="339" t="str">
        <f t="shared" ca="1" si="5"/>
        <v>HP_1!B77</v>
      </c>
    </row>
    <row r="132" spans="1:8" ht="24">
      <c r="A132" s="338" t="str">
        <f>HP_1!A78</f>
        <v>Adjusted Efficiency of Back up Water Heater relative to fuel used by heat pump</v>
      </c>
      <c r="B132" s="350">
        <f>HP_1!B78</f>
        <v>1</v>
      </c>
      <c r="C132" s="345" cm="1">
        <f t="array" aca="1" ref="C132" ca="1">INDIRECT($F132&amp;C$90&amp;"!"&amp;$G132)</f>
        <v>1</v>
      </c>
      <c r="D132" s="345" cm="1">
        <f t="array" aca="1" ref="D132" ca="1">INDIRECT($F132&amp;D$90&amp;"!"&amp;$G132)</f>
        <v>1</v>
      </c>
      <c r="E132" s="342">
        <f t="shared" ca="1" si="2"/>
        <v>1</v>
      </c>
      <c r="F132" s="339" t="str">
        <f t="shared" ca="1" si="3"/>
        <v>HP_</v>
      </c>
      <c r="G132" s="339" t="str">
        <f t="shared" ca="1" si="4"/>
        <v>B78</v>
      </c>
      <c r="H132" s="339" t="str">
        <f t="shared" ca="1" si="5"/>
        <v>HP_1!B78</v>
      </c>
    </row>
    <row r="133" spans="1:8" ht="60">
      <c r="A133" s="338" t="str">
        <f>HP_1!A81</f>
        <v>Source of data</v>
      </c>
      <c r="B133" s="350" t="str">
        <f>HP_1!B81</f>
        <v>Water heating energy efficiency, ηwh</v>
      </c>
      <c r="C133" s="345" t="str" cm="1">
        <f t="array" aca="1" ref="C133" ca="1">INDIRECT($F133&amp;C$90&amp;"!"&amp;$G133)</f>
        <v>Water heating energy efficiency, ηwh</v>
      </c>
      <c r="D133" s="345" t="str" cm="1">
        <f t="array" aca="1" ref="D133" ca="1">INDIRECT($F133&amp;D$90&amp;"!"&amp;$G133)</f>
        <v>Water heating energy efficiency, ηwh</v>
      </c>
      <c r="E133" s="342" t="str">
        <f t="shared" ca="1" si="2"/>
        <v>Water heating energy efficiency, ηwh</v>
      </c>
      <c r="F133" s="339" t="str">
        <f t="shared" ca="1" si="3"/>
        <v>HP_</v>
      </c>
      <c r="G133" s="339" t="str">
        <f t="shared" ca="1" si="4"/>
        <v>B81</v>
      </c>
      <c r="H133" s="339" t="str">
        <f t="shared" ca="1" si="5"/>
        <v>HP_1!B81</v>
      </c>
    </row>
    <row r="134" spans="1:8">
      <c r="A134" s="338" t="str">
        <f>HP_1!A82</f>
        <v>Water heating energy efficiency, ηwh</v>
      </c>
      <c r="B134" s="350">
        <f>HP_1!B82</f>
        <v>0</v>
      </c>
      <c r="C134" s="345" cm="1">
        <f t="array" aca="1" ref="C134" ca="1">INDIRECT($F134&amp;C$90&amp;"!"&amp;$G134)</f>
        <v>0</v>
      </c>
      <c r="D134" s="345" cm="1">
        <f t="array" aca="1" ref="D134" ca="1">INDIRECT($F134&amp;D$90&amp;"!"&amp;$G134)</f>
        <v>0</v>
      </c>
      <c r="E134" s="344">
        <f t="shared" ca="1" si="2"/>
        <v>0</v>
      </c>
      <c r="F134" s="339" t="str">
        <f t="shared" ca="1" si="3"/>
        <v>HP_</v>
      </c>
      <c r="G134" s="339" t="str">
        <f t="shared" ca="1" si="4"/>
        <v>B82</v>
      </c>
      <c r="H134" s="339" t="str">
        <f t="shared" ca="1" si="5"/>
        <v>HP_1!B82</v>
      </c>
    </row>
    <row r="135" spans="1:8">
      <c r="A135" s="338" t="str">
        <f>HP_1!A83</f>
        <v xml:space="preserve">Equivalent Coefficient of Performance </v>
      </c>
      <c r="B135" s="350">
        <f>HP_1!B83</f>
        <v>0</v>
      </c>
      <c r="C135" s="345" cm="1">
        <f t="array" aca="1" ref="C135" ca="1">INDIRECT($F135&amp;C$90&amp;"!"&amp;$G135)</f>
        <v>0</v>
      </c>
      <c r="D135" s="345" cm="1">
        <f t="array" aca="1" ref="D135" ca="1">INDIRECT($F135&amp;D$90&amp;"!"&amp;$G135)</f>
        <v>0</v>
      </c>
      <c r="E135" s="344">
        <f t="shared" ca="1" si="2"/>
        <v>0</v>
      </c>
      <c r="F135" s="339" t="str">
        <f t="shared" ca="1" si="3"/>
        <v>HP_</v>
      </c>
      <c r="G135" s="339" t="str">
        <f t="shared" ca="1" si="4"/>
        <v>B83</v>
      </c>
      <c r="H135" s="339" t="str">
        <f t="shared" ca="1" si="5"/>
        <v>HP_1!B83</v>
      </c>
    </row>
    <row r="136" spans="1:8">
      <c r="A136" s="338" t="str">
        <f>HP_1!A84</f>
        <v>Reference Hot Water Temperature</v>
      </c>
      <c r="B136" s="350" t="str">
        <f>HP_1!B84</f>
        <v xml:space="preserve"> </v>
      </c>
      <c r="C136" s="345" cm="1">
        <f t="array" aca="1" ref="C136" ca="1">INDIRECT($F136&amp;C$90&amp;"!"&amp;$G136)</f>
        <v>0</v>
      </c>
      <c r="D136" s="345" cm="1">
        <f t="array" aca="1" ref="D136" ca="1">INDIRECT($F136&amp;D$90&amp;"!"&amp;$G136)</f>
        <v>0</v>
      </c>
      <c r="E136" s="344">
        <f t="shared" ca="1" si="2"/>
        <v>0</v>
      </c>
      <c r="F136" s="339" t="str">
        <f t="shared" ca="1" si="3"/>
        <v>HP_</v>
      </c>
      <c r="G136" s="339" t="str">
        <f t="shared" ca="1" si="4"/>
        <v>B84</v>
      </c>
      <c r="H136" s="339" t="str">
        <f t="shared" ca="1" si="5"/>
        <v>HP_1!B84</v>
      </c>
    </row>
    <row r="137" spans="1:8">
      <c r="A137" s="338" t="str">
        <f>HP_1!A85</f>
        <v>Required Source Temperature</v>
      </c>
      <c r="B137" s="350">
        <f>HP_1!B85</f>
        <v>7</v>
      </c>
      <c r="C137" s="345" cm="1">
        <f t="array" aca="1" ref="C137" ca="1">INDIRECT($F137&amp;C$90&amp;"!"&amp;$G137)</f>
        <v>7</v>
      </c>
      <c r="D137" s="345" cm="1">
        <f t="array" aca="1" ref="D137" ca="1">INDIRECT($F137&amp;D$90&amp;"!"&amp;$G137)</f>
        <v>7</v>
      </c>
      <c r="E137" s="344">
        <f t="shared" ca="1" si="2"/>
        <v>7</v>
      </c>
      <c r="F137" s="339" t="str">
        <f t="shared" ca="1" si="3"/>
        <v>HP_</v>
      </c>
      <c r="G137" s="339" t="str">
        <f t="shared" ca="1" si="4"/>
        <v>B85</v>
      </c>
      <c r="H137" s="339" t="str">
        <f t="shared" ca="1" si="5"/>
        <v>HP_1!B85</v>
      </c>
    </row>
    <row r="138" spans="1:8">
      <c r="A138" s="338" t="str">
        <f>HP_1!A86</f>
        <v>Capacity of Heat Pump</v>
      </c>
      <c r="B138" s="350">
        <f>HP_1!B86</f>
        <v>0</v>
      </c>
      <c r="C138" s="345" cm="1">
        <f t="array" aca="1" ref="C138" ca="1">INDIRECT($F138&amp;C$90&amp;"!"&amp;$G138)</f>
        <v>0</v>
      </c>
      <c r="D138" s="345" cm="1">
        <f t="array" aca="1" ref="D138" ca="1">INDIRECT($F138&amp;D$90&amp;"!"&amp;$G138)</f>
        <v>0</v>
      </c>
      <c r="E138" s="344">
        <f t="shared" ca="1" si="2"/>
        <v>0</v>
      </c>
      <c r="F138" s="339" t="str">
        <f t="shared" ca="1" si="3"/>
        <v>HP_</v>
      </c>
      <c r="G138" s="339" t="str">
        <f t="shared" ca="1" si="4"/>
        <v>B86</v>
      </c>
      <c r="H138" s="339" t="str">
        <f t="shared" ca="1" si="5"/>
        <v>HP_1!B86</v>
      </c>
    </row>
    <row r="139" spans="1:8">
      <c r="A139" s="338" t="str">
        <f>HP_1!A87</f>
        <v>Declared Load Profile</v>
      </c>
      <c r="B139" s="350" t="str">
        <f>HP_1!B87</f>
        <v>M</v>
      </c>
      <c r="C139" s="345" t="str" cm="1">
        <f t="array" aca="1" ref="C139" ca="1">INDIRECT($F139&amp;C$90&amp;"!"&amp;$G139)</f>
        <v>M</v>
      </c>
      <c r="D139" s="345" t="str" cm="1">
        <f t="array" aca="1" ref="D139" ca="1">INDIRECT($F139&amp;D$90&amp;"!"&amp;$G139)</f>
        <v>M</v>
      </c>
      <c r="E139" s="342" t="str">
        <f t="shared" ca="1" si="2"/>
        <v>M</v>
      </c>
      <c r="F139" s="339" t="str">
        <f t="shared" ca="1" si="3"/>
        <v>HP_</v>
      </c>
      <c r="G139" s="339" t="str">
        <f t="shared" ca="1" si="4"/>
        <v>B87</v>
      </c>
      <c r="H139" s="339" t="str">
        <f t="shared" ca="1" si="5"/>
        <v>HP_1!B87</v>
      </c>
    </row>
    <row r="140" spans="1:8">
      <c r="A140" s="338" t="str">
        <f>HP_1!A88</f>
        <v>Standby Heat Loss</v>
      </c>
      <c r="B140" s="350">
        <f>HP_1!B88</f>
        <v>0</v>
      </c>
      <c r="C140" s="345" cm="1">
        <f t="array" aca="1" ref="C140" ca="1">INDIRECT($F140&amp;C$90&amp;"!"&amp;$G140)</f>
        <v>0</v>
      </c>
      <c r="D140" s="345" cm="1">
        <f t="array" aca="1" ref="D140" ca="1">INDIRECT($F140&amp;D$90&amp;"!"&amp;$G140)</f>
        <v>0</v>
      </c>
      <c r="E140" s="344">
        <f t="shared" ca="1" si="2"/>
        <v>0</v>
      </c>
      <c r="F140" s="339" t="str">
        <f t="shared" ca="1" si="3"/>
        <v>HP_</v>
      </c>
      <c r="G140" s="339" t="str">
        <f t="shared" ca="1" si="4"/>
        <v>B88</v>
      </c>
      <c r="H140" s="339" t="str">
        <f t="shared" ca="1" si="5"/>
        <v>HP_1!B88</v>
      </c>
    </row>
    <row r="141" spans="1:8">
      <c r="A141" s="338" t="str">
        <f>HP_1!A89</f>
        <v>Volume of DHW accounted for in test</v>
      </c>
      <c r="B141" s="350">
        <f>HP_1!B89</f>
        <v>0</v>
      </c>
      <c r="C141" s="345" cm="1">
        <f t="array" aca="1" ref="C141" ca="1">INDIRECT($F141&amp;C$90&amp;"!"&amp;$G141)</f>
        <v>0</v>
      </c>
      <c r="D141" s="345" cm="1">
        <f t="array" aca="1" ref="D141" ca="1">INDIRECT($F141&amp;D$90&amp;"!"&amp;$G141)</f>
        <v>0</v>
      </c>
      <c r="E141" s="344">
        <f t="shared" ca="1" si="2"/>
        <v>0</v>
      </c>
      <c r="F141" s="339" t="str">
        <f t="shared" ca="1" si="3"/>
        <v>HP_</v>
      </c>
      <c r="G141" s="339" t="str">
        <f t="shared" ca="1" si="4"/>
        <v>B89</v>
      </c>
      <c r="H141" s="339" t="str">
        <f t="shared" ca="1" si="5"/>
        <v>HP_1!B89</v>
      </c>
    </row>
    <row r="142" spans="1:8">
      <c r="A142" s="338" t="str">
        <f>HP_1!A92</f>
        <v>Is the Heat Pump Listed on HARP</v>
      </c>
      <c r="B142" s="350" t="str">
        <f>HP_1!B92</f>
        <v>Yes</v>
      </c>
      <c r="C142" s="345" t="str" cm="1">
        <f t="array" aca="1" ref="C142" ca="1">INDIRECT($F142&amp;C$90&amp;"!"&amp;$G142)</f>
        <v>Yes</v>
      </c>
      <c r="D142" s="345" t="str" cm="1">
        <f t="array" aca="1" ref="D142" ca="1">INDIRECT($F142&amp;D$90&amp;"!"&amp;$G142)</f>
        <v>Yes</v>
      </c>
      <c r="E142" s="342" t="str">
        <f t="shared" ca="1" si="2"/>
        <v>Yes</v>
      </c>
      <c r="F142" s="339" t="str">
        <f t="shared" ca="1" si="3"/>
        <v>HP_</v>
      </c>
      <c r="G142" s="339" t="str">
        <f t="shared" ca="1" si="4"/>
        <v>B92</v>
      </c>
      <c r="H142" s="339" t="str">
        <f t="shared" ca="1" si="5"/>
        <v>HP_1!B92</v>
      </c>
    </row>
    <row r="143" spans="1:8" ht="24">
      <c r="A143" s="338" t="str">
        <f>HP_1!A93</f>
        <v>Enter SPF based on DEAP Methodology/ HARP</v>
      </c>
      <c r="B143" s="350">
        <f>HP_1!B93</f>
        <v>3.33</v>
      </c>
      <c r="C143" s="345" cm="1">
        <f t="array" aca="1" ref="C143" ca="1">INDIRECT($F143&amp;C$90&amp;"!"&amp;$G143)</f>
        <v>3.33</v>
      </c>
      <c r="D143" s="345" cm="1">
        <f t="array" aca="1" ref="D143" ca="1">INDIRECT($F143&amp;D$90&amp;"!"&amp;$G143)</f>
        <v>3.33</v>
      </c>
      <c r="E143" s="344">
        <f t="shared" ca="1" si="2"/>
        <v>3.33</v>
      </c>
      <c r="F143" s="339" t="str">
        <f t="shared" ca="1" si="3"/>
        <v>HP_</v>
      </c>
      <c r="G143" s="339" t="str">
        <f t="shared" ca="1" si="4"/>
        <v>B93</v>
      </c>
      <c r="H143" s="339" t="str">
        <f t="shared" ca="1" si="5"/>
        <v>HP_1!B93</v>
      </c>
    </row>
    <row r="144" spans="1:8" ht="24">
      <c r="A144" s="338" t="str">
        <f>HP_1!A94</f>
        <v>Is there load or weather compensation present?</v>
      </c>
      <c r="B144" s="350" t="str">
        <f>HP_1!B94</f>
        <v>Yes</v>
      </c>
      <c r="C144" s="345" t="str" cm="1">
        <f t="array" aca="1" ref="C144" ca="1">INDIRECT($F144&amp;C$90&amp;"!"&amp;$G144)</f>
        <v>Yes</v>
      </c>
      <c r="D144" s="345" t="str" cm="1">
        <f t="array" aca="1" ref="D144" ca="1">INDIRECT($F144&amp;D$90&amp;"!"&amp;$G144)</f>
        <v>Yes</v>
      </c>
      <c r="E144" s="342" t="str">
        <f t="shared" ca="1" si="2"/>
        <v>Yes</v>
      </c>
      <c r="F144" s="339" t="str">
        <f t="shared" ca="1" si="3"/>
        <v>HP_</v>
      </c>
      <c r="G144" s="339" t="str">
        <f t="shared" ca="1" si="4"/>
        <v>B94</v>
      </c>
      <c r="H144" s="339" t="str">
        <f t="shared" ca="1" si="5"/>
        <v>HP_1!B94</v>
      </c>
    </row>
    <row r="145" spans="1:8" ht="24">
      <c r="A145" s="338" t="str">
        <f>HP_1!A95</f>
        <v>Does the heat pump have an Integral Immersion</v>
      </c>
      <c r="B145" s="350" t="str">
        <f>HP_1!B95</f>
        <v>No</v>
      </c>
      <c r="C145" s="345" t="str" cm="1">
        <f t="array" aca="1" ref="C145" ca="1">INDIRECT($F145&amp;C$90&amp;"!"&amp;$G145)</f>
        <v>No</v>
      </c>
      <c r="D145" s="345" t="str" cm="1">
        <f t="array" aca="1" ref="D145" ca="1">INDIRECT($F145&amp;D$90&amp;"!"&amp;$G145)</f>
        <v>No</v>
      </c>
      <c r="E145" s="342" t="str">
        <f t="shared" ca="1" si="2"/>
        <v>No</v>
      </c>
      <c r="F145" s="339" t="str">
        <f t="shared" ca="1" si="3"/>
        <v>HP_</v>
      </c>
      <c r="G145" s="339" t="str">
        <f t="shared" ca="1" si="4"/>
        <v>B95</v>
      </c>
      <c r="H145" s="339" t="str">
        <f t="shared" ca="1" si="5"/>
        <v>HP_1!B95</v>
      </c>
    </row>
    <row r="146" spans="1:8" ht="24">
      <c r="A146" s="338" t="str">
        <f>HP_1!A96</f>
        <v>Does heat pump reach a flow temperature of &gt;=65oC</v>
      </c>
      <c r="B146" s="350" t="str">
        <f>HP_1!B96</f>
        <v>Yes</v>
      </c>
      <c r="C146" s="345" t="str" cm="1">
        <f t="array" aca="1" ref="C146" ca="1">INDIRECT($F146&amp;C$90&amp;"!"&amp;$G146)</f>
        <v>Yes</v>
      </c>
      <c r="D146" s="345" t="str" cm="1">
        <f t="array" aca="1" ref="D146" ca="1">INDIRECT($F146&amp;D$90&amp;"!"&amp;$G146)</f>
        <v>Yes</v>
      </c>
      <c r="E146" s="342" t="str">
        <f t="shared" ca="1" si="2"/>
        <v>Yes</v>
      </c>
      <c r="F146" s="339" t="str">
        <f t="shared" ca="1" si="3"/>
        <v>HP_</v>
      </c>
      <c r="G146" s="339" t="str">
        <f t="shared" ca="1" si="4"/>
        <v>B96</v>
      </c>
      <c r="H146" s="339" t="str">
        <f t="shared" ca="1" si="5"/>
        <v>HP_1!B96</v>
      </c>
    </row>
    <row r="147" spans="1:8">
      <c r="A147" s="338" t="str">
        <f>HP_1!A100</f>
        <v>Coefficient of Performance</v>
      </c>
      <c r="B147" s="350">
        <f>HP_1!B100</f>
        <v>3.2</v>
      </c>
      <c r="C147" s="345" cm="1">
        <f t="array" aca="1" ref="C147" ca="1">INDIRECT($F147&amp;C$90&amp;"!"&amp;$G147)</f>
        <v>3.2</v>
      </c>
      <c r="D147" s="345" cm="1">
        <f t="array" aca="1" ref="D147" ca="1">INDIRECT($F147&amp;D$90&amp;"!"&amp;$G147)</f>
        <v>3.2</v>
      </c>
      <c r="E147" s="344">
        <f t="shared" ca="1" si="2"/>
        <v>3.2</v>
      </c>
      <c r="F147" s="339" t="str">
        <f t="shared" ca="1" si="3"/>
        <v>HP_</v>
      </c>
      <c r="G147" s="339" t="str">
        <f t="shared" ca="1" si="4"/>
        <v>B100</v>
      </c>
      <c r="H147" s="339" t="str">
        <f t="shared" ca="1" si="5"/>
        <v>HP_1!B100</v>
      </c>
    </row>
    <row r="148" spans="1:8">
      <c r="A148" s="338" t="str">
        <f>HP_1!A101</f>
        <v>Reference Hot Water Temperature</v>
      </c>
      <c r="B148" s="350">
        <f>HP_1!B101</f>
        <v>54</v>
      </c>
      <c r="C148" s="345" cm="1">
        <f t="array" aca="1" ref="C148" ca="1">INDIRECT($F148&amp;C$90&amp;"!"&amp;$G148)</f>
        <v>54</v>
      </c>
      <c r="D148" s="345" cm="1">
        <f t="array" aca="1" ref="D148" ca="1">INDIRECT($F148&amp;D$90&amp;"!"&amp;$G148)</f>
        <v>54</v>
      </c>
      <c r="E148" s="344">
        <f t="shared" ca="1" si="2"/>
        <v>54</v>
      </c>
      <c r="F148" s="339" t="str">
        <f t="shared" ca="1" si="3"/>
        <v>HP_</v>
      </c>
      <c r="G148" s="339" t="str">
        <f t="shared" ca="1" si="4"/>
        <v>B101</v>
      </c>
      <c r="H148" s="339" t="str">
        <f t="shared" ca="1" si="5"/>
        <v>HP_1!B101</v>
      </c>
    </row>
    <row r="149" spans="1:8">
      <c r="A149" s="338" t="str">
        <f>HP_1!A102</f>
        <v xml:space="preserve">Heating Capacity DHW </v>
      </c>
      <c r="B149" s="350">
        <f>HP_1!B102</f>
        <v>7</v>
      </c>
      <c r="C149" s="345" cm="1">
        <f t="array" aca="1" ref="C149" ca="1">INDIRECT($F149&amp;C$90&amp;"!"&amp;$G149)</f>
        <v>7</v>
      </c>
      <c r="D149" s="345" cm="1">
        <f t="array" aca="1" ref="D149" ca="1">INDIRECT($F149&amp;D$90&amp;"!"&amp;$G149)</f>
        <v>7</v>
      </c>
      <c r="E149" s="344">
        <f t="shared" ca="1" si="2"/>
        <v>7</v>
      </c>
      <c r="F149" s="339" t="str">
        <f t="shared" ca="1" si="3"/>
        <v>HP_</v>
      </c>
      <c r="G149" s="339" t="str">
        <f t="shared" ca="1" si="4"/>
        <v>B102</v>
      </c>
      <c r="H149" s="339" t="str">
        <f t="shared" ca="1" si="5"/>
        <v>HP_1!B102</v>
      </c>
    </row>
    <row r="150" spans="1:8">
      <c r="A150" s="338">
        <f>HP_1!A103</f>
        <v>0</v>
      </c>
      <c r="B150" s="350">
        <f>HP_1!B103</f>
        <v>0</v>
      </c>
      <c r="C150" s="345" cm="1">
        <f t="array" aca="1" ref="C150" ca="1">INDIRECT($F150&amp;C$90&amp;"!"&amp;$G150)</f>
        <v>0</v>
      </c>
      <c r="D150" s="345" cm="1">
        <f t="array" aca="1" ref="D150" ca="1">INDIRECT($F150&amp;D$90&amp;"!"&amp;$G150)</f>
        <v>0</v>
      </c>
      <c r="E150" s="344">
        <f t="shared" ca="1" si="2"/>
        <v>0</v>
      </c>
      <c r="F150" s="339" t="str">
        <f t="shared" ca="1" si="3"/>
        <v>HP_</v>
      </c>
      <c r="G150" s="339" t="str">
        <f t="shared" ca="1" si="4"/>
        <v>B103</v>
      </c>
      <c r="H150" s="339" t="str">
        <f t="shared" ca="1" si="5"/>
        <v>HP_1!B103</v>
      </c>
    </row>
    <row r="151" spans="1:8" ht="24">
      <c r="A151" s="338" t="str">
        <f>HP_1!A104</f>
        <v>Results: See DEAP Entries tab for detail on results for use in DEAP</v>
      </c>
      <c r="B151" s="350">
        <f>HP_1!B104</f>
        <v>0</v>
      </c>
      <c r="C151" s="345" cm="1">
        <f t="array" aca="1" ref="C151" ca="1">INDIRECT($F151&amp;C$90&amp;"!"&amp;$G151)</f>
        <v>0</v>
      </c>
      <c r="D151" s="345" cm="1">
        <f t="array" aca="1" ref="D151" ca="1">INDIRECT($F151&amp;D$90&amp;"!"&amp;$G151)</f>
        <v>0</v>
      </c>
      <c r="E151" s="344">
        <f t="shared" ca="1" si="2"/>
        <v>0</v>
      </c>
      <c r="F151" s="339" t="str">
        <f t="shared" ca="1" si="3"/>
        <v>HP_</v>
      </c>
      <c r="G151" s="339" t="str">
        <f t="shared" ca="1" si="4"/>
        <v>B104</v>
      </c>
      <c r="H151" s="339" t="str">
        <f t="shared" ca="1" si="5"/>
        <v>HP_1!B104</v>
      </c>
    </row>
    <row r="152" spans="1:8">
      <c r="A152" s="338" t="str">
        <f>HP_1!A105</f>
        <v>Results</v>
      </c>
      <c r="B152" s="350">
        <f>HP_1!B105</f>
        <v>0</v>
      </c>
      <c r="C152" s="345" cm="1">
        <f t="array" aca="1" ref="C152" ca="1">INDIRECT($F152&amp;C$90&amp;"!"&amp;$G152)</f>
        <v>0</v>
      </c>
      <c r="D152" s="345" cm="1">
        <f t="array" aca="1" ref="D152" ca="1">INDIRECT($F152&amp;D$90&amp;"!"&amp;$G152)</f>
        <v>0</v>
      </c>
      <c r="E152" s="344">
        <f t="shared" ca="1" si="2"/>
        <v>0</v>
      </c>
      <c r="F152" s="339" t="str">
        <f t="shared" ca="1" si="3"/>
        <v>HP_</v>
      </c>
      <c r="G152" s="339" t="str">
        <f t="shared" ca="1" si="4"/>
        <v>B105</v>
      </c>
      <c r="H152" s="339" t="str">
        <f t="shared" ca="1" si="5"/>
        <v>HP_1!B105</v>
      </c>
    </row>
    <row r="153" spans="1:8">
      <c r="A153" s="338" t="str">
        <f>HP_1!A106</f>
        <v>Efficiency of Main Heating System</v>
      </c>
      <c r="B153" s="350" t="e">
        <f>HP_1!B106</f>
        <v>#VALUE!</v>
      </c>
      <c r="C153" s="345" t="e" cm="1">
        <f t="array" aca="1" ref="C153" ca="1">INDIRECT($F153&amp;C$90&amp;"!"&amp;$G153)</f>
        <v>#VALUE!</v>
      </c>
      <c r="D153" s="345" t="e" cm="1">
        <f t="array" aca="1" ref="D153" ca="1">INDIRECT($F153&amp;D$90&amp;"!"&amp;$G153)</f>
        <v>#VALUE!</v>
      </c>
      <c r="E153" s="344" t="e">
        <f t="shared" ca="1" si="2"/>
        <v>#VALUE!</v>
      </c>
      <c r="F153" s="339" t="str">
        <f t="shared" ca="1" si="3"/>
        <v>HP_</v>
      </c>
      <c r="G153" s="339" t="str">
        <f t="shared" ca="1" si="4"/>
        <v>B106</v>
      </c>
      <c r="H153" s="339" t="str">
        <f t="shared" ca="1" si="5"/>
        <v>HP_1!B106</v>
      </c>
    </row>
    <row r="154" spans="1:8">
      <c r="A154" s="338" t="str">
        <f>HP_1!A107</f>
        <v>Efficiency Adjustment Factor - Main Heating</v>
      </c>
      <c r="B154" s="350">
        <f>HP_1!B107</f>
        <v>1</v>
      </c>
      <c r="C154" s="345" cm="1">
        <f t="array" aca="1" ref="C154" ca="1">INDIRECT($F154&amp;C$90&amp;"!"&amp;$G154)</f>
        <v>1</v>
      </c>
      <c r="D154" s="345" cm="1">
        <f t="array" aca="1" ref="D154" ca="1">INDIRECT($F154&amp;D$90&amp;"!"&amp;$G154)</f>
        <v>1</v>
      </c>
      <c r="E154" s="344">
        <f t="shared" ca="1" si="2"/>
        <v>1</v>
      </c>
      <c r="F154" s="339" t="str">
        <f t="shared" ca="1" si="3"/>
        <v>HP_</v>
      </c>
      <c r="G154" s="339" t="str">
        <f t="shared" ca="1" si="4"/>
        <v>B107</v>
      </c>
      <c r="H154" s="339" t="str">
        <f t="shared" ca="1" si="5"/>
        <v>HP_1!B107</v>
      </c>
    </row>
    <row r="155" spans="1:8">
      <c r="A155" s="338" t="str">
        <f>HP_1!A108</f>
        <v>Efficiency of Main Hot Water System</v>
      </c>
      <c r="B155" s="350" t="e">
        <f>HP_1!B108</f>
        <v>#VALUE!</v>
      </c>
      <c r="C155" s="345" t="e" cm="1">
        <f t="array" aca="1" ref="C155" ca="1">INDIRECT($F155&amp;C$90&amp;"!"&amp;$G155)</f>
        <v>#DIV/0!</v>
      </c>
      <c r="D155" s="345" t="e" cm="1">
        <f t="array" aca="1" ref="D155" ca="1">INDIRECT($F155&amp;D$90&amp;"!"&amp;$G155)</f>
        <v>#DIV/0!</v>
      </c>
      <c r="E155" s="344" t="e">
        <f t="shared" ca="1" si="2"/>
        <v>#DIV/0!</v>
      </c>
      <c r="F155" s="339" t="str">
        <f t="shared" ca="1" si="3"/>
        <v>HP_</v>
      </c>
      <c r="G155" s="339" t="str">
        <f t="shared" ca="1" si="4"/>
        <v>B108</v>
      </c>
      <c r="H155" s="339" t="str">
        <f t="shared" ca="1" si="5"/>
        <v>HP_1!B108</v>
      </c>
    </row>
    <row r="156" spans="1:8" ht="24">
      <c r="A156" s="338" t="str">
        <f>HP_1!A109</f>
        <v>Efficiency Adjustment Factor - Main Hot Water</v>
      </c>
      <c r="B156" s="350">
        <f>HP_1!B109</f>
        <v>1</v>
      </c>
      <c r="C156" s="345" cm="1">
        <f t="array" aca="1" ref="C156" ca="1">INDIRECT($F156&amp;C$90&amp;"!"&amp;$G156)</f>
        <v>1</v>
      </c>
      <c r="D156" s="345" cm="1">
        <f t="array" aca="1" ref="D156" ca="1">INDIRECT($F156&amp;D$90&amp;"!"&amp;$G156)</f>
        <v>1</v>
      </c>
      <c r="E156" s="344">
        <f t="shared" ca="1" si="2"/>
        <v>1</v>
      </c>
      <c r="F156" s="339" t="str">
        <f t="shared" ca="1" si="3"/>
        <v>HP_</v>
      </c>
      <c r="G156" s="339" t="str">
        <f t="shared" ca="1" si="4"/>
        <v>B109</v>
      </c>
      <c r="H156" s="339" t="str">
        <f t="shared" ca="1" si="5"/>
        <v>HP_1!B109</v>
      </c>
    </row>
    <row r="157" spans="1:8">
      <c r="A157" s="338">
        <f>HP_1!A110</f>
        <v>0</v>
      </c>
      <c r="B157" s="350">
        <f>HP_1!B110</f>
        <v>0</v>
      </c>
      <c r="C157" s="345" cm="1">
        <f t="array" aca="1" ref="C157" ca="1">INDIRECT($F157&amp;C$90&amp;"!"&amp;$G157)</f>
        <v>0</v>
      </c>
      <c r="D157" s="345" cm="1">
        <f t="array" aca="1" ref="D157" ca="1">INDIRECT($F157&amp;D$90&amp;"!"&amp;$G157)</f>
        <v>0</v>
      </c>
      <c r="E157" s="344">
        <f t="shared" ref="E157:E185" ca="1" si="6">VLOOKUP(A157,A157:D157,$K$1+1,FALSE)</f>
        <v>0</v>
      </c>
      <c r="F157" s="339" t="str">
        <f t="shared" ref="F157:F185" ca="1" si="7">LEFT(H157,FIND("1",H157)-1)</f>
        <v>HP_</v>
      </c>
      <c r="G157" s="339" t="str">
        <f t="shared" ref="G157:G185" ca="1" si="8">RIGHT(H157,LEN(H157)-FIND("!",H157))</f>
        <v>B110</v>
      </c>
      <c r="H157" s="339" t="str">
        <f t="shared" ref="H157:H185" ca="1" si="9">SUBSTITUTE( _xlfn.FORMULATEXT(B157),"=","")</f>
        <v>HP_1!B110</v>
      </c>
    </row>
    <row r="158" spans="1:8" ht="24">
      <c r="A158" s="338" t="str">
        <f>HP_1!A111</f>
        <v>% Renewable Contribution from Exhaust Heat Pump for Space Heating</v>
      </c>
      <c r="B158" s="350">
        <f>HP_1!B111</f>
        <v>1</v>
      </c>
      <c r="C158" s="345" cm="1">
        <f t="array" aca="1" ref="C158" ca="1">INDIRECT($F158&amp;C$90&amp;"!"&amp;$G158)</f>
        <v>1</v>
      </c>
      <c r="D158" s="345" cm="1">
        <f t="array" aca="1" ref="D158" ca="1">INDIRECT($F158&amp;D$90&amp;"!"&amp;$G158)</f>
        <v>1</v>
      </c>
      <c r="E158" s="344">
        <f t="shared" ca="1" si="6"/>
        <v>1</v>
      </c>
      <c r="F158" s="339" t="str">
        <f t="shared" ca="1" si="7"/>
        <v>HP_</v>
      </c>
      <c r="G158" s="339" t="str">
        <f t="shared" ca="1" si="8"/>
        <v>B111</v>
      </c>
      <c r="H158" s="339" t="str">
        <f t="shared" ca="1" si="9"/>
        <v>HP_1!B111</v>
      </c>
    </row>
    <row r="159" spans="1:8" ht="24">
      <c r="A159" s="338" t="str">
        <f>HP_1!A112</f>
        <v>% Renewable Contribution from Exhaust Heat Pump for Water Heating</v>
      </c>
      <c r="B159" s="350">
        <f>HP_1!B112</f>
        <v>1</v>
      </c>
      <c r="C159" s="345" cm="1">
        <f t="array" aca="1" ref="C159" ca="1">INDIRECT($F159&amp;C$90&amp;"!"&amp;$G159)</f>
        <v>1</v>
      </c>
      <c r="D159" s="345" cm="1">
        <f t="array" aca="1" ref="D159" ca="1">INDIRECT($F159&amp;D$90&amp;"!"&amp;$G159)</f>
        <v>1</v>
      </c>
      <c r="E159" s="344">
        <f t="shared" ca="1" si="6"/>
        <v>1</v>
      </c>
      <c r="F159" s="339" t="str">
        <f t="shared" ca="1" si="7"/>
        <v>HP_</v>
      </c>
      <c r="G159" s="339" t="str">
        <f t="shared" ca="1" si="8"/>
        <v>B112</v>
      </c>
      <c r="H159" s="339" t="str">
        <f t="shared" ca="1" si="9"/>
        <v>HP_1!B112</v>
      </c>
    </row>
    <row r="160" spans="1:8">
      <c r="A160" s="338">
        <f>HP_1!A113</f>
        <v>0</v>
      </c>
      <c r="B160" s="350">
        <f>HP_1!B113</f>
        <v>0</v>
      </c>
      <c r="C160" s="345" cm="1">
        <f t="array" aca="1" ref="C160" ca="1">INDIRECT($F160&amp;C$90&amp;"!"&amp;$G160)</f>
        <v>0</v>
      </c>
      <c r="D160" s="345" cm="1">
        <f t="array" aca="1" ref="D160" ca="1">INDIRECT($F160&amp;D$90&amp;"!"&amp;$G160)</f>
        <v>0</v>
      </c>
      <c r="E160" s="344">
        <f t="shared" ca="1" si="6"/>
        <v>0</v>
      </c>
      <c r="F160" s="339" t="str">
        <f t="shared" ca="1" si="7"/>
        <v>HP_</v>
      </c>
      <c r="G160" s="339" t="str">
        <f t="shared" ca="1" si="8"/>
        <v>B113</v>
      </c>
      <c r="H160" s="339" t="str">
        <f t="shared" ca="1" si="9"/>
        <v>HP_1!B113</v>
      </c>
    </row>
    <row r="161" spans="1:8">
      <c r="A161" s="338">
        <f>HP_1!A114</f>
        <v>0</v>
      </c>
      <c r="B161" s="350">
        <f>HP_1!B114</f>
        <v>0</v>
      </c>
      <c r="C161" s="345" cm="1">
        <f t="array" aca="1" ref="C161" ca="1">INDIRECT($F161&amp;C$90&amp;"!"&amp;$G161)</f>
        <v>0</v>
      </c>
      <c r="D161" s="345" cm="1">
        <f t="array" aca="1" ref="D161" ca="1">INDIRECT($F161&amp;D$90&amp;"!"&amp;$G161)</f>
        <v>0</v>
      </c>
      <c r="E161" s="344">
        <f t="shared" ca="1" si="6"/>
        <v>0</v>
      </c>
      <c r="F161" s="339" t="str">
        <f t="shared" ca="1" si="7"/>
        <v>HP_</v>
      </c>
      <c r="G161" s="339" t="str">
        <f t="shared" ca="1" si="8"/>
        <v>B114</v>
      </c>
      <c r="H161" s="339" t="str">
        <f t="shared" ca="1" si="9"/>
        <v>HP_1!B114</v>
      </c>
    </row>
    <row r="162" spans="1:8">
      <c r="A162" s="338" t="str">
        <f>HP_1!A115</f>
        <v>% of space heating Provided by Heat Pump</v>
      </c>
      <c r="B162" s="350" t="e">
        <f>HP_1!B115</f>
        <v>#VALUE!</v>
      </c>
      <c r="C162" s="345" t="e" cm="1">
        <f t="array" aca="1" ref="C162" ca="1">INDIRECT($F162&amp;C$90&amp;"!"&amp;$G162)</f>
        <v>#VALUE!</v>
      </c>
      <c r="D162" s="345" t="e" cm="1">
        <f t="array" aca="1" ref="D162" ca="1">INDIRECT($F162&amp;D$90&amp;"!"&amp;$G162)</f>
        <v>#VALUE!</v>
      </c>
      <c r="E162" s="344" t="e">
        <f t="shared" ca="1" si="6"/>
        <v>#VALUE!</v>
      </c>
      <c r="F162" s="339" t="str">
        <f t="shared" ca="1" si="7"/>
        <v>HP_</v>
      </c>
      <c r="G162" s="339" t="str">
        <f t="shared" ca="1" si="8"/>
        <v>B115</v>
      </c>
      <c r="H162" s="339" t="str">
        <f t="shared" ca="1" si="9"/>
        <v>HP_1!B115</v>
      </c>
    </row>
    <row r="163" spans="1:8">
      <c r="A163" s="338" t="str">
        <f>HP_1!A116</f>
        <v>% of Hot Water Provided by Heat Pump</v>
      </c>
      <c r="B163" s="350" t="e">
        <f>HP_1!B116</f>
        <v>#VALUE!</v>
      </c>
      <c r="C163" s="345" cm="1">
        <f t="array" aca="1" ref="C163" ca="1">INDIRECT($F163&amp;C$90&amp;"!"&amp;$G163)</f>
        <v>-0.18181818181818188</v>
      </c>
      <c r="D163" s="345" cm="1">
        <f t="array" aca="1" ref="D163" ca="1">INDIRECT($F163&amp;D$90&amp;"!"&amp;$G163)</f>
        <v>-0.18181818181818188</v>
      </c>
      <c r="E163" s="344">
        <f t="shared" ca="1" si="6"/>
        <v>-0.18181818181818188</v>
      </c>
      <c r="F163" s="339" t="str">
        <f t="shared" ca="1" si="7"/>
        <v>HP_</v>
      </c>
      <c r="G163" s="339" t="str">
        <f t="shared" ca="1" si="8"/>
        <v>B116</v>
      </c>
      <c r="H163" s="339" t="str">
        <f t="shared" ca="1" si="9"/>
        <v>HP_1!B116</v>
      </c>
    </row>
    <row r="164" spans="1:8">
      <c r="A164" s="338">
        <f>HP_1!A117</f>
        <v>0</v>
      </c>
      <c r="B164" s="350">
        <f>HP_1!B117</f>
        <v>0</v>
      </c>
      <c r="C164" s="345" cm="1">
        <f t="array" aca="1" ref="C164" ca="1">INDIRECT($F164&amp;C$90&amp;"!"&amp;$G164)</f>
        <v>0</v>
      </c>
      <c r="D164" s="345" cm="1">
        <f t="array" aca="1" ref="D164" ca="1">INDIRECT($F164&amp;D$90&amp;"!"&amp;$G164)</f>
        <v>0</v>
      </c>
      <c r="E164" s="344">
        <f t="shared" ca="1" si="6"/>
        <v>0</v>
      </c>
      <c r="F164" s="339" t="str">
        <f t="shared" ca="1" si="7"/>
        <v>HP_</v>
      </c>
      <c r="G164" s="339" t="str">
        <f t="shared" ca="1" si="8"/>
        <v>B117</v>
      </c>
      <c r="H164" s="339" t="str">
        <f t="shared" ca="1" si="9"/>
        <v>HP_1!B117</v>
      </c>
    </row>
    <row r="165" spans="1:8" ht="24">
      <c r="A165" s="338" t="str">
        <f>HP_1!A118</f>
        <v>Calculated environmental energy in this dwelling</v>
      </c>
      <c r="B165" s="350">
        <f>HP_1!B118</f>
        <v>0</v>
      </c>
      <c r="C165" s="345" cm="1">
        <f t="array" aca="1" ref="C165" ca="1">INDIRECT($F165&amp;C$90&amp;"!"&amp;$G165)</f>
        <v>0</v>
      </c>
      <c r="D165" s="345" cm="1">
        <f t="array" aca="1" ref="D165" ca="1">INDIRECT($F165&amp;D$90&amp;"!"&amp;$G165)</f>
        <v>0</v>
      </c>
      <c r="E165" s="344">
        <f t="shared" ca="1" si="6"/>
        <v>0</v>
      </c>
      <c r="F165" s="339" t="str">
        <f t="shared" ca="1" si="7"/>
        <v>HP_</v>
      </c>
      <c r="G165" s="339" t="str">
        <f t="shared" ca="1" si="8"/>
        <v>B118</v>
      </c>
      <c r="H165" s="339" t="str">
        <f t="shared" ca="1" si="9"/>
        <v>HP_1!B118</v>
      </c>
    </row>
    <row r="166" spans="1:8">
      <c r="A166" s="338">
        <f>HP_1!A119</f>
        <v>0</v>
      </c>
      <c r="B166" s="350">
        <f>HP_1!B119</f>
        <v>0</v>
      </c>
      <c r="C166" s="345" cm="1">
        <f t="array" aca="1" ref="C166" ca="1">INDIRECT($F166&amp;C$90&amp;"!"&amp;$G166)</f>
        <v>0</v>
      </c>
      <c r="D166" s="345" cm="1">
        <f t="array" aca="1" ref="D166" ca="1">INDIRECT($F166&amp;D$90&amp;"!"&amp;$G166)</f>
        <v>0</v>
      </c>
      <c r="E166" s="344">
        <f t="shared" ca="1" si="6"/>
        <v>0</v>
      </c>
      <c r="F166" s="339" t="str">
        <f t="shared" ca="1" si="7"/>
        <v>HP_</v>
      </c>
      <c r="G166" s="339" t="str">
        <f t="shared" ca="1" si="8"/>
        <v>B119</v>
      </c>
      <c r="H166" s="339" t="str">
        <f t="shared" ca="1" si="9"/>
        <v>HP_1!B119</v>
      </c>
    </row>
    <row r="167" spans="1:8" ht="36">
      <c r="A167" s="338" t="str">
        <f>HP_1!A120</f>
        <v>Heat pump standalone without backup (not accounting for Exhaust adjustment)</v>
      </c>
      <c r="B167" s="350" t="str">
        <f>HP_1!B120</f>
        <v>Heat Pump Efficiency</v>
      </c>
      <c r="C167" s="345" t="str" cm="1">
        <f t="array" aca="1" ref="C167" ca="1">INDIRECT($F167&amp;C$90&amp;"!"&amp;$G167)</f>
        <v>Heat Pump Efficiency</v>
      </c>
      <c r="D167" s="345" t="str" cm="1">
        <f t="array" aca="1" ref="D167" ca="1">INDIRECT($F167&amp;D$90&amp;"!"&amp;$G167)</f>
        <v>Heat Pump Efficiency</v>
      </c>
      <c r="E167" s="344" t="str">
        <f t="shared" ca="1" si="6"/>
        <v>Heat Pump Efficiency</v>
      </c>
      <c r="F167" s="339" t="str">
        <f t="shared" ca="1" si="7"/>
        <v>HP_</v>
      </c>
      <c r="G167" s="339" t="str">
        <f t="shared" ca="1" si="8"/>
        <v>B120</v>
      </c>
      <c r="H167" s="339" t="str">
        <f t="shared" ca="1" si="9"/>
        <v>HP_1!B120</v>
      </c>
    </row>
    <row r="168" spans="1:8">
      <c r="A168" s="338" t="str">
        <f>HP_1!A121</f>
        <v>Space heating</v>
      </c>
      <c r="B168" s="350" t="e">
        <f>HP_1!B121</f>
        <v>#VALUE!</v>
      </c>
      <c r="C168" s="345" t="e" cm="1">
        <f t="array" aca="1" ref="C168" ca="1">INDIRECT($F168&amp;C$90&amp;"!"&amp;$G168)</f>
        <v>#VALUE!</v>
      </c>
      <c r="D168" s="345" t="e" cm="1">
        <f t="array" aca="1" ref="D168" ca="1">INDIRECT($F168&amp;D$90&amp;"!"&amp;$G168)</f>
        <v>#VALUE!</v>
      </c>
      <c r="E168" s="344" t="e">
        <f t="shared" ca="1" si="6"/>
        <v>#VALUE!</v>
      </c>
      <c r="F168" s="339" t="str">
        <f t="shared" ca="1" si="7"/>
        <v>HP_</v>
      </c>
      <c r="G168" s="339" t="str">
        <f t="shared" ca="1" si="8"/>
        <v>B121</v>
      </c>
      <c r="H168" s="339" t="str">
        <f t="shared" ca="1" si="9"/>
        <v>HP_1!B121</v>
      </c>
    </row>
    <row r="169" spans="1:8">
      <c r="A169" s="338" t="str">
        <f>HP_1!A122</f>
        <v>Water heating</v>
      </c>
      <c r="B169" s="350">
        <f>HP_1!B122</f>
        <v>0</v>
      </c>
      <c r="C169" s="345" cm="1">
        <f t="array" aca="1" ref="C169" ca="1">INDIRECT($F169&amp;C$90&amp;"!"&amp;$G169)</f>
        <v>0</v>
      </c>
      <c r="D169" s="345" cm="1">
        <f t="array" aca="1" ref="D169" ca="1">INDIRECT($F169&amp;D$90&amp;"!"&amp;$G169)</f>
        <v>0</v>
      </c>
      <c r="E169" s="344">
        <f t="shared" ca="1" si="6"/>
        <v>0</v>
      </c>
      <c r="F169" s="339" t="str">
        <f t="shared" ca="1" si="7"/>
        <v>HP_</v>
      </c>
      <c r="G169" s="339" t="str">
        <f t="shared" ca="1" si="8"/>
        <v>B122</v>
      </c>
      <c r="H169" s="339" t="str">
        <f t="shared" ca="1" si="9"/>
        <v>HP_1!B122</v>
      </c>
    </row>
    <row r="170" spans="1:8" ht="36">
      <c r="A170" s="338" t="str">
        <f>HP_1!A123</f>
        <v>Heat pump with backup (not accounting for Exhaust adjustment)</v>
      </c>
      <c r="B170" s="350" t="str">
        <f>HP_1!B123</f>
        <v>Heat Pump Efficiency</v>
      </c>
      <c r="C170" s="345" t="str" cm="1">
        <f t="array" aca="1" ref="C170" ca="1">INDIRECT($F170&amp;C$90&amp;"!"&amp;$G170)</f>
        <v>Heat Pump Efficiency</v>
      </c>
      <c r="D170" s="345" t="str" cm="1">
        <f t="array" aca="1" ref="D170" ca="1">INDIRECT($F170&amp;D$90&amp;"!"&amp;$G170)</f>
        <v>Heat Pump Efficiency</v>
      </c>
      <c r="E170" s="344" t="str">
        <f t="shared" ca="1" si="6"/>
        <v>Heat Pump Efficiency</v>
      </c>
      <c r="F170" s="339" t="str">
        <f t="shared" ca="1" si="7"/>
        <v>HP_</v>
      </c>
      <c r="G170" s="339" t="str">
        <f t="shared" ca="1" si="8"/>
        <v>B123</v>
      </c>
      <c r="H170" s="339" t="str">
        <f t="shared" ca="1" si="9"/>
        <v>HP_1!B123</v>
      </c>
    </row>
    <row r="171" spans="1:8">
      <c r="A171" s="338" t="str">
        <f>HP_1!A124</f>
        <v>Space heating</v>
      </c>
      <c r="B171" s="350" t="e">
        <f>HP_1!B124</f>
        <v>#VALUE!</v>
      </c>
      <c r="C171" s="345" t="e" cm="1">
        <f t="array" aca="1" ref="C171" ca="1">INDIRECT($F171&amp;C$90&amp;"!"&amp;$G171)</f>
        <v>#VALUE!</v>
      </c>
      <c r="D171" s="345" t="e" cm="1">
        <f t="array" aca="1" ref="D171" ca="1">INDIRECT($F171&amp;D$90&amp;"!"&amp;$G171)</f>
        <v>#VALUE!</v>
      </c>
      <c r="E171" s="344" t="e">
        <f t="shared" ca="1" si="6"/>
        <v>#VALUE!</v>
      </c>
      <c r="F171" s="339" t="str">
        <f t="shared" ca="1" si="7"/>
        <v>HP_</v>
      </c>
      <c r="G171" s="339" t="str">
        <f t="shared" ca="1" si="8"/>
        <v>B124</v>
      </c>
      <c r="H171" s="339" t="str">
        <f t="shared" ca="1" si="9"/>
        <v>HP_1!B124</v>
      </c>
    </row>
    <row r="172" spans="1:8">
      <c r="A172" s="338" t="str">
        <f>HP_1!A125</f>
        <v>Water heating</v>
      </c>
      <c r="B172" s="350" t="e">
        <f>HP_1!B125</f>
        <v>#VALUE!</v>
      </c>
      <c r="C172" s="345" t="e" cm="1">
        <f t="array" aca="1" ref="C172" ca="1">INDIRECT($F172&amp;C$90&amp;"!"&amp;$G172)</f>
        <v>#DIV/0!</v>
      </c>
      <c r="D172" s="345" t="e" cm="1">
        <f t="array" aca="1" ref="D172" ca="1">INDIRECT($F172&amp;D$90&amp;"!"&amp;$G172)</f>
        <v>#DIV/0!</v>
      </c>
      <c r="E172" s="344" t="e">
        <f t="shared" ca="1" si="6"/>
        <v>#DIV/0!</v>
      </c>
      <c r="F172" s="339" t="str">
        <f t="shared" ca="1" si="7"/>
        <v>HP_</v>
      </c>
      <c r="G172" s="339" t="str">
        <f t="shared" ca="1" si="8"/>
        <v>B125</v>
      </c>
      <c r="H172" s="339" t="str">
        <f t="shared" ca="1" si="9"/>
        <v>HP_1!B125</v>
      </c>
    </row>
    <row r="173" spans="1:8" ht="36">
      <c r="A173" s="338" t="str">
        <f>HP_1!A126</f>
        <v>Additional renewable contribution when discounting backup</v>
      </c>
      <c r="B173" s="350" t="str">
        <f>HP_1!B126</f>
        <v>Adjustment due to backup</v>
      </c>
      <c r="C173" s="345" t="str" cm="1">
        <f t="array" aca="1" ref="C173" ca="1">INDIRECT($F173&amp;C$90&amp;"!"&amp;$G173)</f>
        <v>Adjustment due to backup</v>
      </c>
      <c r="D173" s="345" t="str" cm="1">
        <f t="array" aca="1" ref="D173" ca="1">INDIRECT($F173&amp;D$90&amp;"!"&amp;$G173)</f>
        <v>Adjustment due to backup</v>
      </c>
      <c r="E173" s="344" t="str">
        <f t="shared" ca="1" si="6"/>
        <v>Adjustment due to backup</v>
      </c>
      <c r="F173" s="339" t="str">
        <f t="shared" ca="1" si="7"/>
        <v>HP_</v>
      </c>
      <c r="G173" s="339" t="str">
        <f t="shared" ca="1" si="8"/>
        <v>B126</v>
      </c>
      <c r="H173" s="339" t="str">
        <f t="shared" ca="1" si="9"/>
        <v>HP_1!B126</v>
      </c>
    </row>
    <row r="174" spans="1:8">
      <c r="A174" s="338" t="str">
        <f>HP_1!A127</f>
        <v>Space heating</v>
      </c>
      <c r="B174" s="350" t="e">
        <f>HP_1!B127</f>
        <v>#VALUE!</v>
      </c>
      <c r="C174" s="345" t="e" cm="1">
        <f t="array" aca="1" ref="C174" ca="1">INDIRECT($F174&amp;C$90&amp;"!"&amp;$G174)</f>
        <v>#VALUE!</v>
      </c>
      <c r="D174" s="345" t="e" cm="1">
        <f t="array" aca="1" ref="D174" ca="1">INDIRECT($F174&amp;D$90&amp;"!"&amp;$G174)</f>
        <v>#VALUE!</v>
      </c>
      <c r="E174" s="344" t="e">
        <f t="shared" ca="1" si="6"/>
        <v>#VALUE!</v>
      </c>
      <c r="F174" s="339" t="str">
        <f t="shared" ca="1" si="7"/>
        <v>HP_</v>
      </c>
      <c r="G174" s="339" t="str">
        <f t="shared" ca="1" si="8"/>
        <v>B127</v>
      </c>
      <c r="H174" s="339" t="str">
        <f t="shared" ca="1" si="9"/>
        <v>HP_1!B127</v>
      </c>
    </row>
    <row r="175" spans="1:8">
      <c r="A175" s="338" t="str">
        <f>HP_1!A128</f>
        <v>Water heating</v>
      </c>
      <c r="B175" s="350" t="e">
        <f>HP_1!B128</f>
        <v>#VALUE!</v>
      </c>
      <c r="C175" s="345" t="e" cm="1">
        <f t="array" aca="1" ref="C175" ca="1">INDIRECT($F175&amp;C$90&amp;"!"&amp;$G175)</f>
        <v>#DIV/0!</v>
      </c>
      <c r="D175" s="345" t="e" cm="1">
        <f t="array" aca="1" ref="D175" ca="1">INDIRECT($F175&amp;D$90&amp;"!"&amp;$G175)</f>
        <v>#DIV/0!</v>
      </c>
      <c r="E175" s="344" t="e">
        <f t="shared" ca="1" si="6"/>
        <v>#DIV/0!</v>
      </c>
      <c r="F175" s="339" t="str">
        <f t="shared" ca="1" si="7"/>
        <v>HP_</v>
      </c>
      <c r="G175" s="339" t="str">
        <f t="shared" ca="1" si="8"/>
        <v>B128</v>
      </c>
      <c r="H175" s="339" t="str">
        <f t="shared" ca="1" si="9"/>
        <v>HP_1!B128</v>
      </c>
    </row>
    <row r="176" spans="1:8">
      <c r="A176" s="338" t="str">
        <f>HP_1!G111</f>
        <v>Exhaust Air Flow Rate (m3/hr)</v>
      </c>
      <c r="B176" s="350">
        <f>HP_1!G112</f>
        <v>0</v>
      </c>
      <c r="C176" s="345" cm="1">
        <f t="array" aca="1" ref="C176" ca="1">INDIRECT($F176&amp;C$90&amp;"!"&amp;$G176)</f>
        <v>0</v>
      </c>
      <c r="D176" s="345" cm="1">
        <f t="array" aca="1" ref="D176" ca="1">INDIRECT($F176&amp;D$90&amp;"!"&amp;$G176)</f>
        <v>0</v>
      </c>
      <c r="E176" s="344">
        <f t="shared" ca="1" si="6"/>
        <v>0</v>
      </c>
      <c r="F176" s="339" t="str">
        <f t="shared" ca="1" si="7"/>
        <v>HP_</v>
      </c>
      <c r="G176" s="339" t="str">
        <f t="shared" ca="1" si="8"/>
        <v>G112</v>
      </c>
      <c r="H176" s="339" t="str">
        <f t="shared" ca="1" si="9"/>
        <v>HP_1!G112</v>
      </c>
    </row>
    <row r="177" spans="1:8">
      <c r="A177" s="338" t="str">
        <f>HP_1!A187</f>
        <v>DEAP Entries Captured Data</v>
      </c>
      <c r="B177" s="350">
        <f>HP_1!B187</f>
        <v>0</v>
      </c>
      <c r="C177" s="345" cm="1">
        <f t="array" aca="1" ref="C177" ca="1">INDIRECT($F177&amp;C$90&amp;"!"&amp;$G177)</f>
        <v>0</v>
      </c>
      <c r="D177" s="345" cm="1">
        <f t="array" aca="1" ref="D177" ca="1">INDIRECT($F177&amp;D$90&amp;"!"&amp;$G177)</f>
        <v>0</v>
      </c>
      <c r="E177" s="344">
        <f t="shared" ca="1" si="6"/>
        <v>0</v>
      </c>
      <c r="F177" s="339" t="str">
        <f t="shared" ca="1" si="7"/>
        <v>HP_</v>
      </c>
      <c r="G177" s="339" t="str">
        <f t="shared" ca="1" si="8"/>
        <v>B187</v>
      </c>
      <c r="H177" s="339" t="str">
        <f t="shared" ca="1" si="9"/>
        <v>HP_1!B187</v>
      </c>
    </row>
    <row r="178" spans="1:8" ht="24">
      <c r="A178" s="338" t="str">
        <f>HP_1!A188</f>
        <v>Description:</v>
      </c>
      <c r="B178" s="350" t="str">
        <f>HP_1!B188</f>
        <v>Heat pump # 1</v>
      </c>
      <c r="C178" s="345" t="str" cm="1">
        <f t="array" aca="1" ref="C178" ca="1">INDIRECT($F178&amp;C$90&amp;"!"&amp;$G178)</f>
        <v>Heat pump # 1</v>
      </c>
      <c r="D178" s="345" t="str" cm="1">
        <f t="array" aca="1" ref="D178" ca="1">INDIRECT($F178&amp;D$90&amp;"!"&amp;$G178)</f>
        <v>Heat pump # 1</v>
      </c>
      <c r="E178" s="344" t="str">
        <f t="shared" ca="1" si="6"/>
        <v>Heat pump # 1</v>
      </c>
      <c r="F178" s="339" t="str">
        <f t="shared" ca="1" si="7"/>
        <v>HP_</v>
      </c>
      <c r="G178" s="339" t="str">
        <f t="shared" ca="1" si="8"/>
        <v>B188</v>
      </c>
      <c r="H178" s="339" t="str">
        <f t="shared" ca="1" si="9"/>
        <v>HP_1!B188</v>
      </c>
    </row>
    <row r="179" spans="1:8" ht="24">
      <c r="A179" s="338" t="str">
        <f>HP_1!A189</f>
        <v>Type of space heating heat pump</v>
      </c>
      <c r="B179" s="350" t="str">
        <f>HP_1!B189</f>
        <v>Heat Pump</v>
      </c>
      <c r="C179" s="345" t="str" cm="1">
        <f t="array" aca="1" ref="C179" ca="1">INDIRECT($F179&amp;C$90&amp;"!"&amp;$G179)</f>
        <v>Heat Pump</v>
      </c>
      <c r="D179" s="345" t="str" cm="1">
        <f t="array" aca="1" ref="D179" ca="1">INDIRECT($F179&amp;D$90&amp;"!"&amp;$G179)</f>
        <v>Heat Pump</v>
      </c>
      <c r="E179" s="344" t="str">
        <f t="shared" ca="1" si="6"/>
        <v>Heat Pump</v>
      </c>
      <c r="F179" s="339" t="str">
        <f t="shared" ca="1" si="7"/>
        <v>HP_</v>
      </c>
      <c r="G179" s="339" t="str">
        <f t="shared" ca="1" si="8"/>
        <v>B189</v>
      </c>
      <c r="H179" s="339" t="str">
        <f t="shared" ca="1" si="9"/>
        <v>HP_1!B189</v>
      </c>
    </row>
    <row r="180" spans="1:8" ht="24">
      <c r="A180" s="338" t="str">
        <f>HP_1!A190</f>
        <v>Type of water heating heat pump</v>
      </c>
      <c r="B180" s="350" t="str">
        <f>HP_1!B190</f>
        <v>Heat Pump</v>
      </c>
      <c r="C180" s="345" t="str" cm="1">
        <f t="array" aca="1" ref="C180" ca="1">INDIRECT($F180&amp;C$90&amp;"!"&amp;$G180)</f>
        <v>Heat Pump</v>
      </c>
      <c r="D180" s="345" t="str" cm="1">
        <f t="array" aca="1" ref="D180" ca="1">INDIRECT($F180&amp;D$90&amp;"!"&amp;$G180)</f>
        <v>Heat Pump</v>
      </c>
      <c r="E180" s="344" t="str">
        <f t="shared" ca="1" si="6"/>
        <v>Heat Pump</v>
      </c>
      <c r="F180" s="339" t="str">
        <f t="shared" ca="1" si="7"/>
        <v>HP_</v>
      </c>
      <c r="G180" s="339" t="str">
        <f t="shared" ca="1" si="8"/>
        <v>B190</v>
      </c>
      <c r="H180" s="339" t="str">
        <f t="shared" ca="1" si="9"/>
        <v>HP_1!B190</v>
      </c>
    </row>
    <row r="181" spans="1:8" ht="24">
      <c r="A181" s="338" t="str">
        <f>HP_1!A191</f>
        <v xml:space="preserve">% main space heat provided by each heat pump  based on system design </v>
      </c>
      <c r="B181" s="350">
        <f>HP_1!B191</f>
        <v>0</v>
      </c>
      <c r="C181" s="345" cm="1">
        <f t="array" aca="1" ref="C181" ca="1">INDIRECT($F181&amp;C$90&amp;"!"&amp;$G181)</f>
        <v>0</v>
      </c>
      <c r="D181" s="345" cm="1">
        <f t="array" aca="1" ref="D181" ca="1">INDIRECT($F181&amp;D$90&amp;"!"&amp;$G181)</f>
        <v>0</v>
      </c>
      <c r="E181" s="344">
        <f t="shared" ca="1" si="6"/>
        <v>0</v>
      </c>
      <c r="F181" s="339" t="str">
        <f t="shared" ca="1" si="7"/>
        <v>HP_</v>
      </c>
      <c r="G181" s="339" t="str">
        <f t="shared" ca="1" si="8"/>
        <v>B191</v>
      </c>
      <c r="H181" s="339" t="str">
        <f t="shared" ca="1" si="9"/>
        <v>HP_1!B191</v>
      </c>
    </row>
    <row r="182" spans="1:8" ht="24">
      <c r="A182" s="338" t="str">
        <f>HP_1!A192</f>
        <v xml:space="preserve">% main water heat provided by each heat pump  based on system design </v>
      </c>
      <c r="B182" s="350">
        <f>HP_1!B192</f>
        <v>0</v>
      </c>
      <c r="C182" s="345" cm="1">
        <f t="array" aca="1" ref="C182" ca="1">INDIRECT($F182&amp;C$90&amp;"!"&amp;$G182)</f>
        <v>0</v>
      </c>
      <c r="D182" s="345" cm="1">
        <f t="array" aca="1" ref="D182" ca="1">INDIRECT($F182&amp;D$90&amp;"!"&amp;$G182)</f>
        <v>0</v>
      </c>
      <c r="E182" s="344">
        <f t="shared" ca="1" si="6"/>
        <v>0</v>
      </c>
      <c r="F182" s="339" t="str">
        <f t="shared" ca="1" si="7"/>
        <v>HP_</v>
      </c>
      <c r="G182" s="339" t="str">
        <f t="shared" ca="1" si="8"/>
        <v>B192</v>
      </c>
      <c r="H182" s="339" t="str">
        <f t="shared" ca="1" si="9"/>
        <v>HP_1!B192</v>
      </c>
    </row>
    <row r="183" spans="1:8">
      <c r="A183" s="338" t="str">
        <f>HP_1!A193</f>
        <v>Is heat pump source preconditioned?</v>
      </c>
      <c r="B183" s="350" t="str">
        <f>HP_1!B193</f>
        <v>No</v>
      </c>
      <c r="C183" s="345" t="str" cm="1">
        <f t="array" aca="1" ref="C183" ca="1">INDIRECT($F183&amp;C$90&amp;"!"&amp;$G183)</f>
        <v>No</v>
      </c>
      <c r="D183" s="345" t="str" cm="1">
        <f t="array" aca="1" ref="D183" ca="1">INDIRECT($F183&amp;D$90&amp;"!"&amp;$G183)</f>
        <v>No</v>
      </c>
      <c r="E183" s="344" t="str">
        <f t="shared" ca="1" si="6"/>
        <v>No</v>
      </c>
      <c r="F183" s="339" t="str">
        <f t="shared" ca="1" si="7"/>
        <v>HP_</v>
      </c>
      <c r="G183" s="339" t="str">
        <f t="shared" ca="1" si="8"/>
        <v>B193</v>
      </c>
      <c r="H183" s="339" t="str">
        <f t="shared" ca="1" si="9"/>
        <v>HP_1!B193</v>
      </c>
    </row>
    <row r="184" spans="1:8" ht="24">
      <c r="A184" s="338" t="str">
        <f>HP_1!A194</f>
        <v>Is the Heat Pump part of a Group Heating Scheme</v>
      </c>
      <c r="B184" s="350" t="str">
        <f>HP_1!B194</f>
        <v>No</v>
      </c>
      <c r="C184" s="345" t="str" cm="1">
        <f t="array" aca="1" ref="C184" ca="1">INDIRECT($F184&amp;C$90&amp;"!"&amp;$G184)</f>
        <v>No</v>
      </c>
      <c r="D184" s="345" t="str" cm="1">
        <f t="array" aca="1" ref="D184" ca="1">INDIRECT($F184&amp;D$90&amp;"!"&amp;$G184)</f>
        <v>No</v>
      </c>
      <c r="E184" s="344" t="str">
        <f t="shared" ca="1" si="6"/>
        <v>No</v>
      </c>
      <c r="F184" s="339" t="str">
        <f t="shared" ca="1" si="7"/>
        <v>HP_</v>
      </c>
      <c r="G184" s="339" t="str">
        <f t="shared" ca="1" si="8"/>
        <v>B194</v>
      </c>
      <c r="H184" s="339" t="str">
        <f t="shared" ca="1" si="9"/>
        <v>HP_1!B194</v>
      </c>
    </row>
    <row r="185" spans="1:8" ht="24">
      <c r="A185" s="338" t="str">
        <f>HP_1!A195</f>
        <v>If "Exhaust Air Heat Pump(s)" what is the total exhaust Air Flow Rate</v>
      </c>
      <c r="B185" s="350">
        <f>HP_1!B195</f>
        <v>0</v>
      </c>
      <c r="C185" s="345" cm="1">
        <f t="array" aca="1" ref="C185" ca="1">INDIRECT($F185&amp;C$90&amp;"!"&amp;$G185)</f>
        <v>0</v>
      </c>
      <c r="D185" s="345" cm="1">
        <f t="array" aca="1" ref="D185" ca="1">INDIRECT($F185&amp;D$90&amp;"!"&amp;$G185)</f>
        <v>0</v>
      </c>
      <c r="E185" s="344">
        <f t="shared" ca="1" si="6"/>
        <v>0</v>
      </c>
      <c r="F185" s="339" t="str">
        <f t="shared" ca="1" si="7"/>
        <v>HP_</v>
      </c>
      <c r="G185" s="339" t="str">
        <f t="shared" ca="1" si="8"/>
        <v>B195</v>
      </c>
      <c r="H185" s="339" t="str">
        <f t="shared" ca="1" si="9"/>
        <v>HP_1!B195</v>
      </c>
    </row>
  </sheetData>
  <sheetProtection algorithmName="SHA-512" hashValue="JSxSfvWH+CfiW4iMfwQ2rZlxh0uk1x6F9LfnJCNV7dfgAWkFRr+G6RyRkfdAkaJcGyNesuzZZ4JbSTCNRyA6Dw==" saltValue="AOqj0tEZUTUDAFWY+Qq6Hw==" spinCount="100000" sheet="1" objects="1" scenarios="1"/>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6F8E5-A67F-44B4-BF4D-8BD798B715C3}">
  <dimension ref="A1:V185"/>
  <sheetViews>
    <sheetView workbookViewId="0">
      <selection activeCell="G17" sqref="G17"/>
    </sheetView>
  </sheetViews>
  <sheetFormatPr defaultColWidth="9.140625" defaultRowHeight="12.75"/>
  <cols>
    <col min="1" max="1" width="35.7109375" style="39" customWidth="1"/>
    <col min="2" max="2" width="29.7109375" style="39" customWidth="1"/>
    <col min="3" max="4" width="9.140625" style="39"/>
    <col min="5" max="5" width="29.7109375" style="39" customWidth="1"/>
    <col min="6" max="9" width="9.140625" style="39"/>
    <col min="10" max="10" width="16.140625" style="39" bestFit="1" customWidth="1"/>
    <col min="11" max="11" width="9.140625" style="39"/>
    <col min="12" max="12" width="23" style="3" bestFit="1" customWidth="1"/>
    <col min="13" max="13" width="18.28515625" style="3" customWidth="1"/>
    <col min="14" max="14" width="9.140625" style="3"/>
    <col min="15" max="15" width="9.140625" style="39"/>
    <col min="16" max="16" width="13.5703125" style="39" customWidth="1"/>
    <col min="17" max="20" width="9.140625" style="39"/>
    <col min="21" max="21" width="23.42578125" style="39" customWidth="1"/>
    <col min="22" max="22" width="17.28515625" style="39" customWidth="1"/>
    <col min="23" max="16384" width="9.140625" style="39"/>
  </cols>
  <sheetData>
    <row r="1" spans="1:22" ht="18.75" thickBot="1">
      <c r="A1" s="39" t="s">
        <v>1</v>
      </c>
      <c r="J1" s="292" t="s">
        <v>509</v>
      </c>
      <c r="K1" s="293">
        <v>3</v>
      </c>
      <c r="M1" s="43"/>
      <c r="N1" s="43"/>
      <c r="P1" s="39" t="s">
        <v>285</v>
      </c>
    </row>
    <row r="2" spans="1:22" ht="15.75">
      <c r="A2" s="1" t="s">
        <v>494</v>
      </c>
      <c r="M2" s="43"/>
      <c r="P2" s="39" t="s">
        <v>286</v>
      </c>
      <c r="Q2" s="39" t="s">
        <v>177</v>
      </c>
      <c r="S2" s="99" t="s">
        <v>287</v>
      </c>
      <c r="T2" s="99" t="s">
        <v>288</v>
      </c>
      <c r="U2" s="39" t="s">
        <v>289</v>
      </c>
      <c r="V2" s="39" t="s">
        <v>290</v>
      </c>
    </row>
    <row r="3" spans="1:22" ht="15.75">
      <c r="A3" s="39" t="s">
        <v>291</v>
      </c>
      <c r="B3" s="351">
        <f ca="1">E141</f>
        <v>0</v>
      </c>
      <c r="E3" s="39" t="s">
        <v>292</v>
      </c>
      <c r="M3" s="43"/>
      <c r="P3" s="39" t="s">
        <v>59</v>
      </c>
      <c r="Q3" s="39">
        <v>0.34499999999999997</v>
      </c>
      <c r="R3" s="39">
        <v>7</v>
      </c>
      <c r="S3" s="100" t="s">
        <v>1</v>
      </c>
      <c r="T3" s="100" t="s">
        <v>1</v>
      </c>
      <c r="U3" s="99">
        <f ca="1">IF(E94="Yes",0,IF($B$6=P3,IF($B$3&gt;R3,1,0),0))</f>
        <v>0</v>
      </c>
      <c r="V3" s="99">
        <f ca="1">IF(E94="Yes",0,IF($B$6=P3,IF(E127&gt;R3,1,0),0))</f>
        <v>0</v>
      </c>
    </row>
    <row r="4" spans="1:22" ht="15.75">
      <c r="A4" s="39" t="s">
        <v>293</v>
      </c>
      <c r="B4" s="351">
        <f ca="1">E126</f>
        <v>65</v>
      </c>
      <c r="C4" s="39" t="s">
        <v>294</v>
      </c>
      <c r="M4" s="43"/>
      <c r="P4" s="39" t="s">
        <v>68</v>
      </c>
      <c r="Q4" s="39">
        <v>2.1</v>
      </c>
      <c r="R4" s="39">
        <v>15</v>
      </c>
      <c r="S4" s="100" t="s">
        <v>1</v>
      </c>
      <c r="T4" s="100" t="s">
        <v>1</v>
      </c>
      <c r="U4" s="99">
        <f ca="1">IF(E94="Yes",0,IF($B$6=P4,IF($B$3&gt;R4,1,0),0))</f>
        <v>0</v>
      </c>
      <c r="V4" s="99">
        <f ca="1">IF(E94="Yes",0,IF($B$6=P4,IF(E127&gt;R4,1,0),0))</f>
        <v>0</v>
      </c>
    </row>
    <row r="5" spans="1:22">
      <c r="A5" s="39" t="s">
        <v>295</v>
      </c>
      <c r="B5" s="351">
        <f ca="1">E140</f>
        <v>0</v>
      </c>
      <c r="C5" s="39" t="s">
        <v>177</v>
      </c>
      <c r="E5" s="39" t="s">
        <v>292</v>
      </c>
      <c r="P5" s="39" t="s">
        <v>78</v>
      </c>
      <c r="Q5" s="39">
        <v>2.1</v>
      </c>
      <c r="R5" s="39">
        <v>15</v>
      </c>
      <c r="S5" s="100" t="s">
        <v>1</v>
      </c>
      <c r="T5" s="100" t="s">
        <v>1</v>
      </c>
      <c r="U5" s="99">
        <f ca="1">IF(E94="Yes",0,IF($B$6=P5,IF($B$3&gt;R5,1,0),0))</f>
        <v>0</v>
      </c>
      <c r="V5" s="99">
        <f ca="1">IF(E94="Yes",0,IF($B$6=P5,IF(E127&gt;R5,1,0),0))</f>
        <v>0</v>
      </c>
    </row>
    <row r="6" spans="1:22">
      <c r="A6" s="39" t="s">
        <v>175</v>
      </c>
      <c r="B6" s="353" t="str">
        <f ca="1">E139</f>
        <v>M</v>
      </c>
      <c r="P6" s="39" t="s">
        <v>86</v>
      </c>
      <c r="Q6" s="39">
        <v>2.1</v>
      </c>
      <c r="R6" s="39">
        <v>36</v>
      </c>
      <c r="S6" s="100" t="s">
        <v>1</v>
      </c>
      <c r="T6" s="100" t="s">
        <v>1</v>
      </c>
      <c r="U6" s="99">
        <f ca="1">IF(E94="Yes",0,IF($B$6=P6,IF($B$3&gt;R6,1,0),0))</f>
        <v>0</v>
      </c>
      <c r="V6" s="99">
        <f ca="1">IF(E94="Yes",0,IF($B$6=P6,IF(E127&gt;R6,1,0),0))</f>
        <v>0</v>
      </c>
    </row>
    <row r="7" spans="1:22">
      <c r="A7" s="39" t="s">
        <v>296</v>
      </c>
      <c r="B7" s="39">
        <f ca="1">VLOOKUP(B6,P3:R13,3,)</f>
        <v>65</v>
      </c>
      <c r="C7" s="39" t="s">
        <v>179</v>
      </c>
      <c r="E7" s="39" t="s">
        <v>1</v>
      </c>
      <c r="G7" s="101" t="s">
        <v>1</v>
      </c>
      <c r="M7" s="102"/>
      <c r="P7" s="39" t="s">
        <v>91</v>
      </c>
      <c r="Q7" s="39">
        <v>5.8449999999999998</v>
      </c>
      <c r="R7" s="39">
        <v>65</v>
      </c>
      <c r="S7" s="4">
        <f t="shared" ref="S7:S12" ca="1" si="0">R7/(($E$136-10)/30)</f>
        <v>-195</v>
      </c>
      <c r="T7" s="4">
        <f t="shared" ref="T7:T12" si="1">R7/((60-10)/30)</f>
        <v>39</v>
      </c>
      <c r="U7" s="99">
        <f ca="1">IF(E94="Yes",0,IF($B$6=P7,IF($B$3&lt;S7,1,0),0))</f>
        <v>0</v>
      </c>
      <c r="V7" s="99">
        <f ca="1">IF(E94="Yes",0,IF($B$6=P7,IF(E127&lt;T7,1,0),0))</f>
        <v>1</v>
      </c>
    </row>
    <row r="8" spans="1:22">
      <c r="A8" s="39" t="s">
        <v>297</v>
      </c>
      <c r="B8" s="39">
        <f ca="1">VLOOKUP(B6,P3:Q13,2,)</f>
        <v>5.8449999999999998</v>
      </c>
      <c r="C8" s="39" t="s">
        <v>177</v>
      </c>
      <c r="E8" s="39" t="s">
        <v>298</v>
      </c>
      <c r="P8" s="39" t="s">
        <v>94</v>
      </c>
      <c r="Q8" s="39">
        <v>11.654999999999999</v>
      </c>
      <c r="R8" s="39">
        <v>130</v>
      </c>
      <c r="S8" s="4">
        <f t="shared" ca="1" si="0"/>
        <v>-390</v>
      </c>
      <c r="T8" s="4">
        <f t="shared" si="1"/>
        <v>78</v>
      </c>
      <c r="U8" s="99">
        <f ca="1">IF(E94="Yes",0,IF($B$6=P8,IF($B$3&lt;S8,1,0),0))</f>
        <v>0</v>
      </c>
      <c r="V8" s="99">
        <f ca="1">IF(E94="Yes",0,IF($B$6=P8,IF(E127&lt;T8,1,0),0))</f>
        <v>0</v>
      </c>
    </row>
    <row r="9" spans="1:22">
      <c r="A9" s="99" t="str">
        <f ca="1">"COP based on "&amp;E122</f>
        <v>COP based on I.S. EN 16147</v>
      </c>
      <c r="B9" s="352">
        <f ca="1">E135</f>
        <v>0</v>
      </c>
      <c r="P9" s="39" t="s">
        <v>97</v>
      </c>
      <c r="Q9" s="39">
        <v>19.07</v>
      </c>
      <c r="R9" s="39">
        <v>210</v>
      </c>
      <c r="S9" s="4">
        <f t="shared" ca="1" si="0"/>
        <v>-630</v>
      </c>
      <c r="T9" s="4">
        <f t="shared" si="1"/>
        <v>126</v>
      </c>
      <c r="U9" s="99">
        <f ca="1">IF(E94="Yes",0,IF($B$6=P9,IF($B$3&lt;S9,1,0),0))</f>
        <v>0</v>
      </c>
      <c r="V9" s="99">
        <f ca="1">IF(E94="Yes",0,IF($B$6=P9,IF(E127&lt;T9,1,0),0))</f>
        <v>0</v>
      </c>
    </row>
    <row r="10" spans="1:22">
      <c r="A10" s="39" t="s">
        <v>173</v>
      </c>
      <c r="B10" s="351">
        <f ca="1">E138</f>
        <v>0</v>
      </c>
      <c r="C10" s="39" t="s">
        <v>174</v>
      </c>
      <c r="P10" s="39" t="s">
        <v>100</v>
      </c>
      <c r="Q10" s="39">
        <v>24.53</v>
      </c>
      <c r="R10" s="39">
        <v>300</v>
      </c>
      <c r="S10" s="4">
        <f t="shared" ca="1" si="0"/>
        <v>-900</v>
      </c>
      <c r="T10" s="4">
        <f t="shared" si="1"/>
        <v>180</v>
      </c>
      <c r="U10" s="99">
        <f ca="1">IF(E94="Yes",0,IF($B$6=P10,IF($B$3&lt;S10,1,0),0))</f>
        <v>0</v>
      </c>
      <c r="V10" s="99">
        <f ca="1">IF(E94="Yes",0,IF($B$6=P10,IF(E127&lt;T10,1,0),0))</f>
        <v>0</v>
      </c>
    </row>
    <row r="11" spans="1:22">
      <c r="A11" s="39" t="s">
        <v>1</v>
      </c>
      <c r="P11" s="39" t="s">
        <v>101</v>
      </c>
      <c r="Q11" s="39">
        <v>46.76</v>
      </c>
      <c r="R11" s="39">
        <v>520</v>
      </c>
      <c r="S11" s="4">
        <f t="shared" ca="1" si="0"/>
        <v>-1560</v>
      </c>
      <c r="T11" s="4">
        <f t="shared" si="1"/>
        <v>312</v>
      </c>
      <c r="U11" s="99">
        <f ca="1">IF(E94="Yes",0,IF($B$6=P11,IF($B$3&lt;S11,1,0),0))</f>
        <v>0</v>
      </c>
      <c r="V11" s="99">
        <f ca="1">IF(E94="Yes",0,IF($B$6=P11,IF(E127&lt;T11,1,0),0))</f>
        <v>0</v>
      </c>
    </row>
    <row r="12" spans="1:22">
      <c r="A12" s="39" t="s">
        <v>299</v>
      </c>
      <c r="B12" s="4">
        <f ca="1">IF(E122="I.S. EN 14825/14511",B9,B9*(1+B5/B8))</f>
        <v>0</v>
      </c>
      <c r="E12" s="99" t="s">
        <v>416</v>
      </c>
      <c r="P12" s="39" t="s">
        <v>104</v>
      </c>
      <c r="Q12" s="39">
        <v>93.52</v>
      </c>
      <c r="R12" s="39">
        <v>1040</v>
      </c>
      <c r="S12" s="4">
        <f t="shared" ca="1" si="0"/>
        <v>-3120</v>
      </c>
      <c r="T12" s="4">
        <f t="shared" si="1"/>
        <v>624</v>
      </c>
      <c r="U12" s="99">
        <f ca="1">IF(E94="Yes",0,IF($B$6=P12,IF($B$3&lt;S12,1,0),0))</f>
        <v>0</v>
      </c>
      <c r="V12" s="99">
        <f ca="1">IF(E94="Yes",0,IF($B$6=P12,IF(E127&lt;T12,1,0),0))</f>
        <v>0</v>
      </c>
    </row>
    <row r="13" spans="1:22">
      <c r="P13" s="39">
        <v>0</v>
      </c>
    </row>
    <row r="14" spans="1:22" ht="14.25">
      <c r="A14" s="39" t="s">
        <v>300</v>
      </c>
      <c r="B14" s="351">
        <f ca="1">E136</f>
        <v>0</v>
      </c>
      <c r="C14" s="99" t="s">
        <v>301</v>
      </c>
      <c r="U14" s="39">
        <f ca="1">IF($E$122="I.S. EN 14825/14511",0,SUM(U3:U13))</f>
        <v>0</v>
      </c>
      <c r="V14" s="39">
        <f ca="1">IF($E$122="I.S. EN 14825/14511",0,SUM(V3:V13))</f>
        <v>1</v>
      </c>
    </row>
    <row r="15" spans="1:22" ht="14.25">
      <c r="A15" s="39" t="s">
        <v>302</v>
      </c>
      <c r="B15" s="351">
        <f ca="1">IF(E122="I.S. EN 14825/14511",B14,E126)</f>
        <v>65</v>
      </c>
      <c r="C15" s="99" t="s">
        <v>301</v>
      </c>
    </row>
    <row r="16" spans="1:22" ht="14.25">
      <c r="A16" s="39" t="s">
        <v>303</v>
      </c>
      <c r="B16" s="351">
        <f ca="1">E125</f>
        <v>10</v>
      </c>
      <c r="C16" s="99" t="s">
        <v>301</v>
      </c>
      <c r="M16" s="102"/>
      <c r="P16" s="39" t="s">
        <v>1</v>
      </c>
      <c r="U16" s="99" t="s">
        <v>581</v>
      </c>
      <c r="V16" s="99" t="s">
        <v>580</v>
      </c>
    </row>
    <row r="17" spans="1:21" ht="25.5">
      <c r="A17" s="104" t="s">
        <v>304</v>
      </c>
      <c r="B17" s="4">
        <f ca="1">(B15-B14)/(B15-B16)</f>
        <v>1.1818181818181819</v>
      </c>
    </row>
    <row r="18" spans="1:21">
      <c r="U18" s="104" t="s">
        <v>1</v>
      </c>
    </row>
    <row r="19" spans="1:21">
      <c r="A19" s="39" t="s">
        <v>306</v>
      </c>
      <c r="B19" s="39">
        <f ca="1">IF(E94="No",E123,((E123*E97)/E96))</f>
        <v>0</v>
      </c>
      <c r="C19" s="39" t="s">
        <v>43</v>
      </c>
      <c r="I19" s="2"/>
    </row>
    <row r="20" spans="1:21">
      <c r="A20" s="39" t="s">
        <v>307</v>
      </c>
      <c r="B20" s="4" t="e">
        <f ca="1">B19/B10</f>
        <v>#DIV/0!</v>
      </c>
      <c r="C20" s="99" t="s">
        <v>39</v>
      </c>
      <c r="M20" s="102"/>
    </row>
    <row r="21" spans="1:21">
      <c r="A21" s="99" t="s">
        <v>308</v>
      </c>
      <c r="B21" s="4">
        <f ca="1">8760*((24-E112)/24)</f>
        <v>2920</v>
      </c>
      <c r="C21" s="99" t="s">
        <v>39</v>
      </c>
      <c r="E21" s="99" t="s">
        <v>417</v>
      </c>
      <c r="M21" s="102"/>
    </row>
    <row r="22" spans="1:21">
      <c r="A22" s="39" t="s">
        <v>309</v>
      </c>
      <c r="B22" s="4" t="e">
        <f ca="1">IF((B20-B21)&lt;0,0,(B20-B21))</f>
        <v>#DIV/0!</v>
      </c>
    </row>
    <row r="23" spans="1:21" ht="25.5">
      <c r="A23" s="104" t="s">
        <v>310</v>
      </c>
      <c r="B23" s="4" t="e">
        <f ca="1">(B22*B10)/B19</f>
        <v>#DIV/0!</v>
      </c>
      <c r="M23" s="102"/>
    </row>
    <row r="25" spans="1:21">
      <c r="A25" s="99" t="s">
        <v>453</v>
      </c>
      <c r="B25" s="2" t="e">
        <f ca="1">(B19*(1-B17-B23))/B12</f>
        <v>#DIV/0!</v>
      </c>
      <c r="C25" s="39" t="s">
        <v>43</v>
      </c>
      <c r="M25" s="102"/>
    </row>
    <row r="26" spans="1:21">
      <c r="A26" s="39" t="s">
        <v>311</v>
      </c>
      <c r="B26" s="2">
        <f ca="1">(B19*B17)/E132</f>
        <v>0</v>
      </c>
      <c r="C26" s="39" t="s">
        <v>43</v>
      </c>
      <c r="E26" s="99" t="s">
        <v>454</v>
      </c>
    </row>
    <row r="27" spans="1:21">
      <c r="A27" s="39" t="s">
        <v>312</v>
      </c>
      <c r="B27" s="2" t="e">
        <f ca="1">(B19*B23)/E132</f>
        <v>#DIV/0!</v>
      </c>
      <c r="C27" s="39" t="s">
        <v>43</v>
      </c>
      <c r="E27" s="99" t="s">
        <v>454</v>
      </c>
    </row>
    <row r="28" spans="1:21">
      <c r="A28" s="99" t="s">
        <v>455</v>
      </c>
      <c r="B28" s="2" t="e">
        <f ca="1">SUM(B25:B27)</f>
        <v>#DIV/0!</v>
      </c>
      <c r="C28" s="39" t="s">
        <v>43</v>
      </c>
    </row>
    <row r="30" spans="1:21">
      <c r="A30" s="99" t="s">
        <v>314</v>
      </c>
      <c r="B30" s="105" t="e">
        <f ca="1">B19/B28</f>
        <v>#DIV/0!</v>
      </c>
      <c r="M30" s="102"/>
    </row>
    <row r="31" spans="1:21">
      <c r="F31" s="2"/>
    </row>
    <row r="32" spans="1:21">
      <c r="A32" s="39" t="s">
        <v>278</v>
      </c>
      <c r="B32" s="117" t="e">
        <f ca="1">B34-B25</f>
        <v>#DIV/0!</v>
      </c>
      <c r="C32" s="39" t="s">
        <v>43</v>
      </c>
    </row>
    <row r="34" spans="1:14">
      <c r="A34" s="39" t="s">
        <v>315</v>
      </c>
      <c r="B34" s="103" t="e">
        <f ca="1">B19*(1-B17-B23)</f>
        <v>#DIV/0!</v>
      </c>
      <c r="C34" s="39" t="s">
        <v>43</v>
      </c>
    </row>
    <row r="36" spans="1:14">
      <c r="A36" s="99" t="s">
        <v>282</v>
      </c>
      <c r="B36" s="118">
        <f ca="1">IF(LEFT(E119,7)="Exhaust",(B10*(1-1/B9)-(E176*1.2/3600)*(20-7))/(B10*(1-1/B9)),1)</f>
        <v>1</v>
      </c>
    </row>
    <row r="37" spans="1:14">
      <c r="B37" s="108"/>
    </row>
    <row r="38" spans="1:14">
      <c r="A38" s="39" t="s">
        <v>281</v>
      </c>
      <c r="B38" s="106" t="e">
        <f ca="1">B32*B36</f>
        <v>#DIV/0!</v>
      </c>
      <c r="C38" s="39" t="s">
        <v>43</v>
      </c>
    </row>
    <row r="39" spans="1:14">
      <c r="B39" s="108"/>
      <c r="N39" s="102"/>
    </row>
    <row r="40" spans="1:14">
      <c r="D40" s="119"/>
      <c r="L40" s="109"/>
      <c r="N40" s="102"/>
    </row>
    <row r="42" spans="1:14">
      <c r="A42" s="1" t="s">
        <v>316</v>
      </c>
    </row>
    <row r="43" spans="1:14">
      <c r="A43" s="39" t="s">
        <v>306</v>
      </c>
      <c r="B43" s="39">
        <f ca="1">B19</f>
        <v>0</v>
      </c>
      <c r="C43" s="39" t="s">
        <v>43</v>
      </c>
    </row>
    <row r="44" spans="1:14">
      <c r="A44" s="39" t="s">
        <v>317</v>
      </c>
      <c r="B44" s="103">
        <f ca="1">E147</f>
        <v>3.2</v>
      </c>
    </row>
    <row r="45" spans="1:14">
      <c r="A45" s="39" t="s">
        <v>173</v>
      </c>
      <c r="B45" s="351">
        <f ca="1">E149</f>
        <v>7</v>
      </c>
      <c r="C45" s="39" t="s">
        <v>174</v>
      </c>
    </row>
    <row r="47" spans="1:14">
      <c r="A47" s="39" t="s">
        <v>300</v>
      </c>
      <c r="B47" s="351">
        <f ca="1">E148</f>
        <v>54</v>
      </c>
      <c r="C47" s="39" t="s">
        <v>294</v>
      </c>
    </row>
    <row r="48" spans="1:14">
      <c r="A48" s="39" t="s">
        <v>302</v>
      </c>
      <c r="B48" s="351">
        <f ca="1">E126</f>
        <v>65</v>
      </c>
      <c r="C48" s="39" t="s">
        <v>294</v>
      </c>
    </row>
    <row r="49" spans="1:14">
      <c r="A49" s="39" t="s">
        <v>303</v>
      </c>
      <c r="B49" s="351">
        <f ca="1">E125</f>
        <v>10</v>
      </c>
      <c r="C49" s="39" t="s">
        <v>294</v>
      </c>
    </row>
    <row r="51" spans="1:14">
      <c r="A51" s="39" t="s">
        <v>318</v>
      </c>
      <c r="B51" s="4">
        <f ca="1">IF((B48-B47)&lt;=0,0,(B48-B47)/(B48-B49))</f>
        <v>0.2</v>
      </c>
      <c r="E51" s="39" t="s">
        <v>305</v>
      </c>
      <c r="L51" s="109"/>
    </row>
    <row r="52" spans="1:14">
      <c r="L52" s="110"/>
      <c r="N52" s="102"/>
    </row>
    <row r="53" spans="1:14">
      <c r="A53" s="39" t="s">
        <v>319</v>
      </c>
      <c r="B53" s="2">
        <f ca="1">(B43*(1-B51))/B44</f>
        <v>0</v>
      </c>
      <c r="C53" s="39" t="s">
        <v>43</v>
      </c>
      <c r="N53" s="102"/>
    </row>
    <row r="54" spans="1:14">
      <c r="A54" s="39" t="s">
        <v>320</v>
      </c>
      <c r="B54" s="2">
        <f ca="1">(B43*B51)/E132</f>
        <v>0</v>
      </c>
      <c r="C54" s="39" t="s">
        <v>43</v>
      </c>
      <c r="G54" s="39" t="s">
        <v>1</v>
      </c>
      <c r="L54" s="109"/>
    </row>
    <row r="55" spans="1:14">
      <c r="A55" s="39" t="s">
        <v>313</v>
      </c>
      <c r="B55" s="2">
        <f ca="1">SUM(B53:B54)</f>
        <v>0</v>
      </c>
      <c r="C55" s="39" t="s">
        <v>43</v>
      </c>
    </row>
    <row r="57" spans="1:14">
      <c r="A57" s="99" t="s">
        <v>314</v>
      </c>
      <c r="B57" s="105" t="e">
        <f ca="1">B43/B55</f>
        <v>#DIV/0!</v>
      </c>
    </row>
    <row r="59" spans="1:14">
      <c r="A59" s="39" t="s">
        <v>278</v>
      </c>
      <c r="B59" s="106" t="e">
        <f ca="1">IF(B57&gt;2.5,(B57-2.5)*B55,0)</f>
        <v>#DIV/0!</v>
      </c>
      <c r="C59" s="39" t="s">
        <v>43</v>
      </c>
    </row>
    <row r="61" spans="1:14">
      <c r="A61" s="39" t="s">
        <v>315</v>
      </c>
      <c r="B61" s="103">
        <f ca="1">B43*(1-B51)</f>
        <v>0</v>
      </c>
      <c r="C61" s="39" t="s">
        <v>43</v>
      </c>
    </row>
    <row r="63" spans="1:14">
      <c r="A63" s="39" t="s">
        <v>321</v>
      </c>
      <c r="B63" s="107" t="e">
        <f ca="1">B61/B53</f>
        <v>#DIV/0!</v>
      </c>
    </row>
    <row r="64" spans="1:14">
      <c r="B64" s="108"/>
    </row>
    <row r="65" spans="1:14">
      <c r="A65" s="39" t="s">
        <v>281</v>
      </c>
      <c r="B65" s="106" t="e">
        <f ca="1">IF(B63&lt;2.5,0,(B63-2.5)*B53)</f>
        <v>#DIV/0!</v>
      </c>
      <c r="C65" s="39" t="s">
        <v>43</v>
      </c>
    </row>
    <row r="66" spans="1:14">
      <c r="B66" s="108"/>
    </row>
    <row r="67" spans="1:14">
      <c r="L67" s="109"/>
      <c r="N67" s="102"/>
    </row>
    <row r="70" spans="1:14">
      <c r="A70" s="1" t="s">
        <v>322</v>
      </c>
    </row>
    <row r="71" spans="1:14">
      <c r="A71" s="39" t="s">
        <v>306</v>
      </c>
      <c r="B71" s="39">
        <f ca="1">B19</f>
        <v>0</v>
      </c>
      <c r="C71" s="39" t="s">
        <v>43</v>
      </c>
    </row>
    <row r="72" spans="1:14">
      <c r="A72" s="39" t="s">
        <v>323</v>
      </c>
      <c r="B72" s="103">
        <f ca="1">E143</f>
        <v>3.33</v>
      </c>
    </row>
    <row r="73" spans="1:14">
      <c r="A73" s="39" t="s">
        <v>40</v>
      </c>
      <c r="B73" s="103">
        <f ca="1">IF(AND(E145="No",E146="Yes"),0.7,1)</f>
        <v>0.7</v>
      </c>
    </row>
    <row r="74" spans="1:14">
      <c r="A74" s="39" t="s">
        <v>1</v>
      </c>
      <c r="B74" s="39" t="s">
        <v>324</v>
      </c>
      <c r="C74" s="39" t="s">
        <v>1</v>
      </c>
    </row>
    <row r="75" spans="1:14">
      <c r="A75" s="99" t="s">
        <v>314</v>
      </c>
      <c r="B75" s="105">
        <f ca="1">IF(AND(E145="No",E146="Yes"),B72,(1/(50/(B72*100)+0.5)))</f>
        <v>3.33</v>
      </c>
      <c r="N75" s="102"/>
    </row>
    <row r="76" spans="1:14">
      <c r="A76" s="99"/>
      <c r="B76" s="111"/>
    </row>
    <row r="77" spans="1:14">
      <c r="A77" s="39" t="s">
        <v>313</v>
      </c>
      <c r="B77" s="111">
        <f ca="1">B71/B75</f>
        <v>0</v>
      </c>
      <c r="C77" s="39" t="s">
        <v>43</v>
      </c>
    </row>
    <row r="79" spans="1:14">
      <c r="A79" s="39" t="s">
        <v>278</v>
      </c>
      <c r="B79" s="106">
        <f ca="1">IF(B75&gt;2.5,(B75-2.5)*B77,0)</f>
        <v>0</v>
      </c>
      <c r="C79" s="39" t="s">
        <v>43</v>
      </c>
    </row>
    <row r="81" spans="1:14">
      <c r="A81" s="39" t="s">
        <v>315</v>
      </c>
      <c r="B81" s="103">
        <f ca="1">IF(B75=B72,B71,B71*0.5)</f>
        <v>0</v>
      </c>
      <c r="C81" s="39" t="s">
        <v>43</v>
      </c>
      <c r="E81" s="2"/>
    </row>
    <row r="83" spans="1:14">
      <c r="A83" s="39" t="s">
        <v>319</v>
      </c>
      <c r="B83" s="39">
        <f ca="1">B81/B72</f>
        <v>0</v>
      </c>
      <c r="C83" s="39" t="s">
        <v>43</v>
      </c>
    </row>
    <row r="85" spans="1:14">
      <c r="A85" s="39" t="s">
        <v>281</v>
      </c>
      <c r="B85" s="106">
        <f ca="1">IF(B72&lt;2.5,0,(B72-2.5)*B83)</f>
        <v>0</v>
      </c>
      <c r="C85" s="39" t="s">
        <v>43</v>
      </c>
      <c r="N85" s="102"/>
    </row>
    <row r="86" spans="1:14">
      <c r="B86" s="108"/>
    </row>
    <row r="87" spans="1:14">
      <c r="L87" s="109"/>
      <c r="N87" s="102"/>
    </row>
    <row r="89" spans="1:14" ht="24">
      <c r="A89" s="317" t="s">
        <v>568</v>
      </c>
      <c r="B89" s="334" t="s">
        <v>553</v>
      </c>
      <c r="C89" s="334" t="s">
        <v>554</v>
      </c>
      <c r="D89" s="334" t="s">
        <v>555</v>
      </c>
      <c r="E89" s="335"/>
      <c r="F89" s="335"/>
      <c r="G89" s="335"/>
      <c r="H89" s="335"/>
    </row>
    <row r="90" spans="1:14" ht="60">
      <c r="A90" s="336" t="s">
        <v>551</v>
      </c>
      <c r="B90" s="336" t="str">
        <f>RIGHT(B89)</f>
        <v>1</v>
      </c>
      <c r="C90" s="336" t="str">
        <f>RIGHT(C89)</f>
        <v>2</v>
      </c>
      <c r="D90" s="336" t="str">
        <f>RIGHT(D89)</f>
        <v>3</v>
      </c>
      <c r="E90" s="336" t="s">
        <v>552</v>
      </c>
      <c r="F90" s="337" t="s">
        <v>547</v>
      </c>
      <c r="G90" s="337" t="s">
        <v>550</v>
      </c>
      <c r="H90" s="337" t="s">
        <v>556</v>
      </c>
    </row>
    <row r="91" spans="1:14">
      <c r="A91" s="338" t="str">
        <f>HP_1!O12</f>
        <v>Same HP for Space and Water Heating</v>
      </c>
      <c r="B91" s="343" t="b">
        <f>HP_1!N12</f>
        <v>1</v>
      </c>
      <c r="C91" s="345" t="b" cm="1">
        <f t="array" aca="1" ref="C91" ca="1">INDIRECT($F91&amp;C$90&amp;"!"&amp;$G91)</f>
        <v>0</v>
      </c>
      <c r="D91" s="345" t="b" cm="1">
        <f t="array" aca="1" ref="D91" ca="1">INDIRECT($F91&amp;D$90&amp;"!"&amp;$G91)</f>
        <v>0</v>
      </c>
      <c r="E91" s="341" t="b">
        <f ca="1">VLOOKUP(A91,A91:D91,$K$1+1,FALSE)</f>
        <v>0</v>
      </c>
      <c r="F91" s="339" t="str">
        <f ca="1">LEFT(H91,FIND("1",H91)-1)</f>
        <v>HP_</v>
      </c>
      <c r="G91" s="339" t="str">
        <f ca="1">RIGHT(H91,LEN(H91)-FIND("!",H91))</f>
        <v>N12</v>
      </c>
      <c r="H91" s="339" t="str">
        <f ca="1">SUBSTITUTE( _xlfn.FORMULATEXT(B91),"=","")</f>
        <v>HP_1!N12</v>
      </c>
    </row>
    <row r="92" spans="1:14">
      <c r="A92" s="338" t="str">
        <f>HP_1!A3</f>
        <v>Total heat loss (W/K) taken from DEAP</v>
      </c>
      <c r="B92" s="346">
        <f>HP_1!B3</f>
        <v>0</v>
      </c>
      <c r="C92" s="345" cm="1">
        <f t="array" aca="1" ref="C92" ca="1">INDIRECT($F92&amp;C$90&amp;"!"&amp;$G92)</f>
        <v>0</v>
      </c>
      <c r="D92" s="345" cm="1">
        <f t="array" aca="1" ref="D92" ca="1">INDIRECT($F92&amp;D$90&amp;"!"&amp;$G92)</f>
        <v>0</v>
      </c>
      <c r="E92" s="340">
        <f ca="1">VLOOKUP(A92,A92:D92,$K$1+1,FALSE)</f>
        <v>0</v>
      </c>
      <c r="F92" s="339" t="str">
        <f ca="1">LEFT(H92,FIND("1",H92)-1)</f>
        <v>HP_</v>
      </c>
      <c r="G92" s="339" t="str">
        <f ca="1">RIGHT(H92,LEN(H92)-FIND("!",H92))</f>
        <v>B3</v>
      </c>
      <c r="H92" s="339" t="str">
        <f ca="1">SUBSTITUTE( _xlfn.FORMULATEXT(B92),"=","")</f>
        <v>HP_1!B3</v>
      </c>
    </row>
    <row r="93" spans="1:14" ht="48">
      <c r="A93" s="338" t="str">
        <f>HP_1!A4</f>
        <v>Heat Loss Watts</v>
      </c>
      <c r="B93" s="343" t="str">
        <f>HP_1!B4</f>
        <v>Please complete DEAPEntries tab</v>
      </c>
      <c r="C93" s="345" t="str" cm="1">
        <f t="array" aca="1" ref="C93" ca="1">INDIRECT($F93&amp;C$90&amp;"!"&amp;$G93)</f>
        <v>Please complete DEAPEntries tab</v>
      </c>
      <c r="D93" s="345" t="str" cm="1">
        <f t="array" aca="1" ref="D93" ca="1">INDIRECT($F93&amp;D$90&amp;"!"&amp;$G93)</f>
        <v>Please complete DEAPEntries tab</v>
      </c>
      <c r="E93" s="340" t="str">
        <f t="shared" ref="E93:E156" ca="1" si="2">VLOOKUP(A93,A93:D93,$K$1+1,FALSE)</f>
        <v>Please complete DEAPEntries tab</v>
      </c>
      <c r="F93" s="339" t="str">
        <f t="shared" ref="F93:F156" ca="1" si="3">LEFT(H93,FIND("1",H93)-1)</f>
        <v>HP_</v>
      </c>
      <c r="G93" s="339" t="str">
        <f t="shared" ref="G93:G156" ca="1" si="4">RIGHT(H93,LEN(H93)-FIND("!",H93))</f>
        <v>B4</v>
      </c>
      <c r="H93" s="339" t="str">
        <f t="shared" ref="H93:H156" ca="1" si="5">SUBSTITUTE( _xlfn.FORMULATEXT(B93),"=","")</f>
        <v>HP_1!B4</v>
      </c>
    </row>
    <row r="94" spans="1:14" ht="24">
      <c r="A94" s="338" t="str">
        <f>HP_1!A5</f>
        <v>Is this Heat Pump part of a Group Heating Scheme</v>
      </c>
      <c r="B94" s="343" t="str">
        <f>HP_1!B5</f>
        <v>No</v>
      </c>
      <c r="C94" s="345" t="str" cm="1">
        <f t="array" aca="1" ref="C94" ca="1">INDIRECT($F94&amp;C$90&amp;"!"&amp;$G94)</f>
        <v>No</v>
      </c>
      <c r="D94" s="345" t="str" cm="1">
        <f t="array" aca="1" ref="D94" ca="1">INDIRECT($F94&amp;D$90&amp;"!"&amp;$G94)</f>
        <v>No</v>
      </c>
      <c r="E94" s="341" t="str">
        <f t="shared" ca="1" si="2"/>
        <v>No</v>
      </c>
      <c r="F94" s="339" t="str">
        <f t="shared" ca="1" si="3"/>
        <v>HP_</v>
      </c>
      <c r="G94" s="339" t="str">
        <f t="shared" ca="1" si="4"/>
        <v>B5</v>
      </c>
      <c r="H94" s="339" t="str">
        <f t="shared" ca="1" si="5"/>
        <v>HP_1!B5</v>
      </c>
    </row>
    <row r="95" spans="1:14" ht="24">
      <c r="A95" s="338" t="str">
        <f>HP_1!A6</f>
        <v>Proportion of main space heating provided by this heat pump</v>
      </c>
      <c r="B95" s="343">
        <f>HP_1!B6</f>
        <v>0</v>
      </c>
      <c r="C95" s="345" cm="1">
        <f t="array" aca="1" ref="C95" ca="1">INDIRECT($F95&amp;C$90&amp;"!"&amp;$G95)</f>
        <v>0</v>
      </c>
      <c r="D95" s="345" cm="1">
        <f t="array" aca="1" ref="D95" ca="1">INDIRECT($F95&amp;D$90&amp;"!"&amp;$G95)</f>
        <v>0</v>
      </c>
      <c r="E95" s="342">
        <f t="shared" ca="1" si="2"/>
        <v>0</v>
      </c>
      <c r="F95" s="339" t="str">
        <f t="shared" ca="1" si="3"/>
        <v>HP_</v>
      </c>
      <c r="G95" s="339" t="str">
        <f t="shared" ca="1" si="4"/>
        <v>B6</v>
      </c>
      <c r="H95" s="339" t="str">
        <f t="shared" ca="1" si="5"/>
        <v>HP_1!B6</v>
      </c>
    </row>
    <row r="96" spans="1:14">
      <c r="A96" s="338" t="str">
        <f>HP_1!A7</f>
        <v>Floor Area of Dwelling</v>
      </c>
      <c r="B96" s="343">
        <f>HP_1!B7</f>
        <v>0</v>
      </c>
      <c r="C96" s="345" cm="1">
        <f t="array" aca="1" ref="C96" ca="1">INDIRECT($F96&amp;C$90&amp;"!"&amp;$G96)</f>
        <v>0</v>
      </c>
      <c r="D96" s="345" cm="1">
        <f t="array" aca="1" ref="D96" ca="1">INDIRECT($F96&amp;D$90&amp;"!"&amp;$G96)</f>
        <v>0</v>
      </c>
      <c r="E96" s="341">
        <f t="shared" ca="1" si="2"/>
        <v>0</v>
      </c>
      <c r="F96" s="339" t="str">
        <f t="shared" ca="1" si="3"/>
        <v>HP_</v>
      </c>
      <c r="G96" s="339" t="str">
        <f t="shared" ca="1" si="4"/>
        <v>B7</v>
      </c>
      <c r="H96" s="339" t="str">
        <f t="shared" ca="1" si="5"/>
        <v>HP_1!B7</v>
      </c>
    </row>
    <row r="97" spans="1:8" ht="36">
      <c r="A97" s="338" t="str">
        <f>HP_1!A8</f>
        <v>If Heat Pump serves a Group Heat Scheme, the total Floor Area served by Heat Pump is:</v>
      </c>
      <c r="B97" s="343">
        <f>HP_1!B8</f>
        <v>0</v>
      </c>
      <c r="C97" s="345" cm="1">
        <f t="array" aca="1" ref="C97" ca="1">INDIRECT($F97&amp;C$90&amp;"!"&amp;$G97)</f>
        <v>0</v>
      </c>
      <c r="D97" s="345" cm="1">
        <f t="array" aca="1" ref="D97" ca="1">INDIRECT($F97&amp;D$90&amp;"!"&amp;$G97)</f>
        <v>0</v>
      </c>
      <c r="E97" s="341">
        <f t="shared" ca="1" si="2"/>
        <v>0</v>
      </c>
      <c r="F97" s="339" t="str">
        <f t="shared" ca="1" si="3"/>
        <v>HP_</v>
      </c>
      <c r="G97" s="339" t="str">
        <f t="shared" ca="1" si="4"/>
        <v>B8</v>
      </c>
      <c r="H97" s="339" t="str">
        <f t="shared" ca="1" si="5"/>
        <v>HP_1!B8</v>
      </c>
    </row>
    <row r="98" spans="1:8" ht="24">
      <c r="A98" s="338" t="str">
        <f>HP_1!A12</f>
        <v>Type of heat pump</v>
      </c>
      <c r="B98" s="343" t="str">
        <f>HP_1!B12</f>
        <v>Air to Water</v>
      </c>
      <c r="C98" s="345" t="str" cm="1">
        <f t="array" aca="1" ref="C98" ca="1">INDIRECT($F98&amp;C$90&amp;"!"&amp;$G98)</f>
        <v>Air to Water</v>
      </c>
      <c r="D98" s="345" t="str" cm="1">
        <f t="array" aca="1" ref="D98" ca="1">INDIRECT($F98&amp;D$90&amp;"!"&amp;$G98)</f>
        <v>Air to Water</v>
      </c>
      <c r="E98" s="341" t="str">
        <f t="shared" ca="1" si="2"/>
        <v>Air to Water</v>
      </c>
      <c r="F98" s="339" t="str">
        <f t="shared" ca="1" si="3"/>
        <v>HP_</v>
      </c>
      <c r="G98" s="339" t="str">
        <f t="shared" ca="1" si="4"/>
        <v>B12</v>
      </c>
      <c r="H98" s="339" t="str">
        <f t="shared" ca="1" si="5"/>
        <v>HP_1!B12</v>
      </c>
    </row>
    <row r="99" spans="1:8" ht="36">
      <c r="A99" s="338" t="str">
        <f>HP_1!A13</f>
        <v>Temperature Control 
(refered to as Capacity Control in Ecodesign Standard Template)</v>
      </c>
      <c r="B99" s="343" t="str">
        <f>HP_1!B13</f>
        <v>Fixed Outlet</v>
      </c>
      <c r="C99" s="345" t="str" cm="1">
        <f t="array" aca="1" ref="C99" ca="1">INDIRECT($F99&amp;C$90&amp;"!"&amp;$G99)</f>
        <v>Fixed Outlet</v>
      </c>
      <c r="D99" s="345" t="str" cm="1">
        <f t="array" aca="1" ref="D99" ca="1">INDIRECT($F99&amp;D$90&amp;"!"&amp;$G99)</f>
        <v>Fixed Outlet</v>
      </c>
      <c r="E99" s="341" t="str">
        <f t="shared" ca="1" si="2"/>
        <v>Fixed Outlet</v>
      </c>
      <c r="F99" s="339" t="str">
        <f t="shared" ca="1" si="3"/>
        <v>HP_</v>
      </c>
      <c r="G99" s="339" t="str">
        <f t="shared" ca="1" si="4"/>
        <v>B13</v>
      </c>
      <c r="H99" s="339" t="str">
        <f t="shared" ca="1" si="5"/>
        <v>HP_1!B13</v>
      </c>
    </row>
    <row r="100" spans="1:8" ht="24">
      <c r="A100" s="338" t="str">
        <f>HP_1!A14</f>
        <v>Space Heating Test Standard</v>
      </c>
      <c r="B100" s="346" t="str">
        <f>HP_1!B14</f>
        <v>I.S. EN 14825</v>
      </c>
      <c r="C100" s="345" t="str" cm="1">
        <f t="array" aca="1" ref="C100" ca="1">INDIRECT($F100&amp;C$90&amp;"!"&amp;$G100)</f>
        <v>I.S. EN 14825</v>
      </c>
      <c r="D100" s="345" t="str" cm="1">
        <f t="array" aca="1" ref="D100" ca="1">INDIRECT($F100&amp;D$90&amp;"!"&amp;$G100)</f>
        <v>I.S. EN 14825</v>
      </c>
      <c r="E100" s="341" t="str">
        <f t="shared" ca="1" si="2"/>
        <v>I.S. EN 14825</v>
      </c>
      <c r="F100" s="339" t="str">
        <f t="shared" ca="1" si="3"/>
        <v>HP_</v>
      </c>
      <c r="G100" s="339" t="str">
        <f t="shared" ca="1" si="4"/>
        <v>B14</v>
      </c>
      <c r="H100" s="339" t="str">
        <f t="shared" ca="1" si="5"/>
        <v>HP_1!B14</v>
      </c>
    </row>
    <row r="101" spans="1:8">
      <c r="A101" s="338" t="str">
        <f>HP_1!A15</f>
        <v>Operation Limit Temperature (TOL)</v>
      </c>
      <c r="B101" s="347" t="str">
        <f>HP_1!B15</f>
        <v xml:space="preserve"> </v>
      </c>
      <c r="C101" s="345" cm="1">
        <f t="array" aca="1" ref="C101" ca="1">INDIRECT($F101&amp;C$90&amp;"!"&amp;$G101)</f>
        <v>0</v>
      </c>
      <c r="D101" s="345" cm="1">
        <f t="array" aca="1" ref="D101" ca="1">INDIRECT($F101&amp;D$90&amp;"!"&amp;$G101)</f>
        <v>0</v>
      </c>
      <c r="E101" s="341">
        <f t="shared" ca="1" si="2"/>
        <v>0</v>
      </c>
      <c r="F101" s="339" t="str">
        <f t="shared" ca="1" si="3"/>
        <v>HP_</v>
      </c>
      <c r="G101" s="339" t="str">
        <f t="shared" ca="1" si="4"/>
        <v>B15</v>
      </c>
      <c r="H101" s="339" t="str">
        <f t="shared" ca="1" si="5"/>
        <v>HP_1!B15</v>
      </c>
    </row>
    <row r="102" spans="1:8" ht="24">
      <c r="A102" s="338" t="str">
        <f>HP_1!A16</f>
        <v>Heating water operating limit temperature (WTOL)</v>
      </c>
      <c r="B102" s="347" t="str">
        <f>HP_1!B16</f>
        <v xml:space="preserve"> </v>
      </c>
      <c r="C102" s="345" cm="1">
        <f t="array" aca="1" ref="C102" ca="1">INDIRECT($F102&amp;C$90&amp;"!"&amp;$G102)</f>
        <v>0</v>
      </c>
      <c r="D102" s="345" cm="1">
        <f t="array" aca="1" ref="D102" ca="1">INDIRECT($F102&amp;D$90&amp;"!"&amp;$G102)</f>
        <v>0</v>
      </c>
      <c r="E102" s="341">
        <f t="shared" ca="1" si="2"/>
        <v>0</v>
      </c>
      <c r="F102" s="339" t="str">
        <f t="shared" ca="1" si="3"/>
        <v>HP_</v>
      </c>
      <c r="G102" s="339" t="str">
        <f t="shared" ca="1" si="4"/>
        <v>B16</v>
      </c>
      <c r="H102" s="339" t="str">
        <f t="shared" ca="1" si="5"/>
        <v>HP_1!B16</v>
      </c>
    </row>
    <row r="103" spans="1:8" ht="24">
      <c r="A103" s="338" t="str">
        <f>HP_1!A17</f>
        <v>Annual space heating provided by Heat Pump</v>
      </c>
      <c r="B103" s="346">
        <f>HP_1!B17</f>
        <v>0</v>
      </c>
      <c r="C103" s="345" cm="1">
        <f t="array" aca="1" ref="C103" ca="1">INDIRECT($F103&amp;C$90&amp;"!"&amp;$G103)</f>
        <v>0</v>
      </c>
      <c r="D103" s="345" cm="1">
        <f t="array" aca="1" ref="D103" ca="1">INDIRECT($F103&amp;D$90&amp;"!"&amp;$G103)</f>
        <v>0</v>
      </c>
      <c r="E103" s="340">
        <f t="shared" ca="1" si="2"/>
        <v>0</v>
      </c>
      <c r="F103" s="339" t="str">
        <f t="shared" ca="1" si="3"/>
        <v>HP_</v>
      </c>
      <c r="G103" s="339" t="str">
        <f t="shared" ca="1" si="4"/>
        <v>B17</v>
      </c>
      <c r="H103" s="339" t="str">
        <f t="shared" ca="1" si="5"/>
        <v>HP_1!B17</v>
      </c>
    </row>
    <row r="104" spans="1:8">
      <c r="A104" s="338" t="str">
        <f>HP_1!A18</f>
        <v>Design Outdoor Temperature</v>
      </c>
      <c r="B104" s="343">
        <f>HP_1!B18</f>
        <v>-3</v>
      </c>
      <c r="C104" s="345" cm="1">
        <f t="array" aca="1" ref="C104" ca="1">INDIRECT($F104&amp;C$90&amp;"!"&amp;$G104)</f>
        <v>-3</v>
      </c>
      <c r="D104" s="345" cm="1">
        <f t="array" aca="1" ref="D104" ca="1">INDIRECT($F104&amp;D$90&amp;"!"&amp;$G104)</f>
        <v>-3</v>
      </c>
      <c r="E104" s="341">
        <f t="shared" ca="1" si="2"/>
        <v>-3</v>
      </c>
      <c r="F104" s="339" t="str">
        <f t="shared" ca="1" si="3"/>
        <v>HP_</v>
      </c>
      <c r="G104" s="339" t="str">
        <f t="shared" ca="1" si="4"/>
        <v>B18</v>
      </c>
      <c r="H104" s="339" t="str">
        <f t="shared" ca="1" si="5"/>
        <v>HP_1!B18</v>
      </c>
    </row>
    <row r="105" spans="1:8" ht="60">
      <c r="A105" s="338" t="str">
        <f>HP_1!A19</f>
        <v>Indoor Design Temperature (Mean Internal Temperature)</v>
      </c>
      <c r="B105" s="348" t="str">
        <f>HP_1!B19</f>
        <v>Please complete DEAP Entries tab</v>
      </c>
      <c r="C105" s="345" t="str" cm="1">
        <f t="array" aca="1" ref="C105" ca="1">INDIRECT($F105&amp;C$90&amp;"!"&amp;$G105)</f>
        <v>Please complete DEAP Entries tab</v>
      </c>
      <c r="D105" s="345" t="str" cm="1">
        <f t="array" aca="1" ref="D105" ca="1">INDIRECT($F105&amp;D$90&amp;"!"&amp;$G105)</f>
        <v>Please complete DEAP Entries tab</v>
      </c>
      <c r="E105" s="341" t="str">
        <f t="shared" ca="1" si="2"/>
        <v>Please complete DEAP Entries tab</v>
      </c>
      <c r="F105" s="339" t="str">
        <f t="shared" ca="1" si="3"/>
        <v>HP_</v>
      </c>
      <c r="G105" s="339" t="str">
        <f t="shared" ca="1" si="4"/>
        <v>B19</v>
      </c>
      <c r="H105" s="339" t="str">
        <f t="shared" ca="1" si="5"/>
        <v>HP_1!B19</v>
      </c>
    </row>
    <row r="106" spans="1:8">
      <c r="A106" s="338" t="str">
        <f>HP_1!A24</f>
        <v>Air used as Emitter (to Air Units)</v>
      </c>
      <c r="B106" s="343" t="str">
        <f>HP_1!B24</f>
        <v>No</v>
      </c>
      <c r="C106" s="345" t="str" cm="1">
        <f t="array" aca="1" ref="C106" ca="1">INDIRECT($F106&amp;C$90&amp;"!"&amp;$G106)</f>
        <v>No</v>
      </c>
      <c r="D106" s="345" t="str" cm="1">
        <f t="array" aca="1" ref="D106" ca="1">INDIRECT($F106&amp;D$90&amp;"!"&amp;$G106)</f>
        <v>No</v>
      </c>
      <c r="E106" s="341" t="str">
        <f t="shared" ca="1" si="2"/>
        <v>No</v>
      </c>
      <c r="F106" s="339" t="str">
        <f t="shared" ca="1" si="3"/>
        <v>HP_</v>
      </c>
      <c r="G106" s="339" t="str">
        <f t="shared" ca="1" si="4"/>
        <v>B24</v>
      </c>
      <c r="H106" s="339" t="str">
        <f t="shared" ca="1" si="5"/>
        <v>HP_1!B24</v>
      </c>
    </row>
    <row r="107" spans="1:8" ht="36">
      <c r="A107" s="338" t="str">
        <f>HP_1!A25</f>
        <v>Design Flow Temperature
Use "Default Supply Temperature" unless other evidence available</v>
      </c>
      <c r="B107" s="343">
        <f>HP_1!B25</f>
        <v>0</v>
      </c>
      <c r="C107" s="345" cm="1">
        <f t="array" aca="1" ref="C107" ca="1">INDIRECT($F107&amp;C$90&amp;"!"&amp;$G107)</f>
        <v>0</v>
      </c>
      <c r="D107" s="345" cm="1">
        <f t="array" aca="1" ref="D107" ca="1">INDIRECT($F107&amp;D$90&amp;"!"&amp;$G107)</f>
        <v>0</v>
      </c>
      <c r="E107" s="341">
        <f t="shared" ca="1" si="2"/>
        <v>0</v>
      </c>
      <c r="F107" s="339" t="str">
        <f t="shared" ca="1" si="3"/>
        <v>HP_</v>
      </c>
      <c r="G107" s="339" t="str">
        <f t="shared" ca="1" si="4"/>
        <v>B25</v>
      </c>
      <c r="H107" s="339" t="str">
        <f t="shared" ca="1" si="5"/>
        <v>HP_1!B25</v>
      </c>
    </row>
    <row r="108" spans="1:8" ht="24">
      <c r="A108" s="338" t="str">
        <f>HP_1!A26</f>
        <v>Exponent n, characterising type of emission system</v>
      </c>
      <c r="B108" s="343">
        <f>HP_1!B26</f>
        <v>1.2</v>
      </c>
      <c r="C108" s="345" cm="1">
        <f t="array" aca="1" ref="C108" ca="1">INDIRECT($F108&amp;C$90&amp;"!"&amp;$G108)</f>
        <v>1.2</v>
      </c>
      <c r="D108" s="345" cm="1">
        <f t="array" aca="1" ref="D108" ca="1">INDIRECT($F108&amp;D$90&amp;"!"&amp;$G108)</f>
        <v>1.2</v>
      </c>
      <c r="E108" s="341">
        <f t="shared" ca="1" si="2"/>
        <v>1.2</v>
      </c>
      <c r="F108" s="339" t="str">
        <f t="shared" ca="1" si="3"/>
        <v>HP_</v>
      </c>
      <c r="G108" s="339" t="str">
        <f t="shared" ca="1" si="4"/>
        <v>B26</v>
      </c>
      <c r="H108" s="339" t="str">
        <f t="shared" ca="1" si="5"/>
        <v>HP_1!B26</v>
      </c>
    </row>
    <row r="109" spans="1:8">
      <c r="A109" s="338" t="str">
        <f>HP_1!A27</f>
        <v>Emitter Temperature Drop</v>
      </c>
      <c r="B109" s="343">
        <f>HP_1!B27</f>
        <v>10</v>
      </c>
      <c r="C109" s="345" cm="1">
        <f t="array" aca="1" ref="C109" ca="1">INDIRECT($F109&amp;C$90&amp;"!"&amp;$G109)</f>
        <v>10</v>
      </c>
      <c r="D109" s="345" cm="1">
        <f t="array" aca="1" ref="D109" ca="1">INDIRECT($F109&amp;D$90&amp;"!"&amp;$G109)</f>
        <v>10</v>
      </c>
      <c r="E109" s="341">
        <f t="shared" ca="1" si="2"/>
        <v>10</v>
      </c>
      <c r="F109" s="339" t="str">
        <f t="shared" ca="1" si="3"/>
        <v>HP_</v>
      </c>
      <c r="G109" s="339" t="str">
        <f t="shared" ca="1" si="4"/>
        <v>B27</v>
      </c>
      <c r="H109" s="339" t="str">
        <f t="shared" ca="1" si="5"/>
        <v>HP_1!B27</v>
      </c>
    </row>
    <row r="110" spans="1:8">
      <c r="A110" s="338" t="str">
        <f>HP_1!A28</f>
        <v>Return Temperature at design conditions</v>
      </c>
      <c r="B110" s="343">
        <f>HP_1!B28</f>
        <v>-10</v>
      </c>
      <c r="C110" s="345" cm="1">
        <f t="array" aca="1" ref="C110" ca="1">INDIRECT($F110&amp;C$90&amp;"!"&amp;$G110)</f>
        <v>-10</v>
      </c>
      <c r="D110" s="345" cm="1">
        <f t="array" aca="1" ref="D110" ca="1">INDIRECT($F110&amp;D$90&amp;"!"&amp;$G110)</f>
        <v>-10</v>
      </c>
      <c r="E110" s="341">
        <f t="shared" ca="1" si="2"/>
        <v>-10</v>
      </c>
      <c r="F110" s="339" t="str">
        <f t="shared" ca="1" si="3"/>
        <v>HP_</v>
      </c>
      <c r="G110" s="339" t="str">
        <f t="shared" ca="1" si="4"/>
        <v>B28</v>
      </c>
      <c r="H110" s="339" t="str">
        <f t="shared" ca="1" si="5"/>
        <v>HP_1!B28</v>
      </c>
    </row>
    <row r="111" spans="1:8">
      <c r="A111" s="338" t="str">
        <f>HP_1!A29</f>
        <v>No of Hrs per Day Heat Pump in Operation</v>
      </c>
      <c r="B111" s="347">
        <f>HP_1!B29</f>
        <v>8</v>
      </c>
      <c r="C111" s="345" cm="1">
        <f t="array" aca="1" ref="C111" ca="1">INDIRECT($F111&amp;C$90&amp;"!"&amp;$G111)</f>
        <v>8</v>
      </c>
      <c r="D111" s="345" cm="1">
        <f t="array" aca="1" ref="D111" ca="1">INDIRECT($F111&amp;D$90&amp;"!"&amp;$G111)</f>
        <v>8</v>
      </c>
      <c r="E111" s="341">
        <f t="shared" ca="1" si="2"/>
        <v>8</v>
      </c>
      <c r="F111" s="339" t="str">
        <f t="shared" ca="1" si="3"/>
        <v>HP_</v>
      </c>
      <c r="G111" s="339" t="str">
        <f t="shared" ca="1" si="4"/>
        <v>B29</v>
      </c>
      <c r="H111" s="339" t="str">
        <f t="shared" ca="1" si="5"/>
        <v>HP_1!B29</v>
      </c>
    </row>
    <row r="112" spans="1:8">
      <c r="A112" s="338" t="str">
        <f>HP_1!A30</f>
        <v>Cut-out hours</v>
      </c>
      <c r="B112" s="343">
        <f>HP_1!B30</f>
        <v>16</v>
      </c>
      <c r="C112" s="345" cm="1">
        <f t="array" aca="1" ref="C112" ca="1">INDIRECT($F112&amp;C$90&amp;"!"&amp;$G112)</f>
        <v>16</v>
      </c>
      <c r="D112" s="345" cm="1">
        <f t="array" aca="1" ref="D112" ca="1">INDIRECT($F112&amp;D$90&amp;"!"&amp;$G112)</f>
        <v>16</v>
      </c>
      <c r="E112" s="341">
        <f t="shared" ca="1" si="2"/>
        <v>16</v>
      </c>
      <c r="F112" s="339" t="str">
        <f t="shared" ca="1" si="3"/>
        <v>HP_</v>
      </c>
      <c r="G112" s="339" t="str">
        <f t="shared" ca="1" si="4"/>
        <v>B30</v>
      </c>
      <c r="H112" s="339" t="str">
        <f t="shared" ca="1" si="5"/>
        <v>HP_1!B30</v>
      </c>
    </row>
    <row r="113" spans="1:8">
      <c r="A113" s="338" t="str">
        <f>HP_1!A31</f>
        <v>Heat pump fuel primary energy factor</v>
      </c>
      <c r="B113" s="343">
        <f>HP_1!B31</f>
        <v>2.08</v>
      </c>
      <c r="C113" s="345" cm="1">
        <f t="array" aca="1" ref="C113" ca="1">INDIRECT($F113&amp;C$90&amp;"!"&amp;$G113)</f>
        <v>2.08</v>
      </c>
      <c r="D113" s="345" cm="1">
        <f t="array" aca="1" ref="D113" ca="1">INDIRECT($F113&amp;D$90&amp;"!"&amp;$G113)</f>
        <v>2.08</v>
      </c>
      <c r="E113" s="341">
        <f t="shared" ca="1" si="2"/>
        <v>2.08</v>
      </c>
      <c r="F113" s="339" t="str">
        <f t="shared" ca="1" si="3"/>
        <v>HP_</v>
      </c>
      <c r="G113" s="339" t="str">
        <f t="shared" ca="1" si="4"/>
        <v>B31</v>
      </c>
      <c r="H113" s="339" t="str">
        <f t="shared" ca="1" si="5"/>
        <v>HP_1!B31</v>
      </c>
    </row>
    <row r="114" spans="1:8" ht="24">
      <c r="A114" s="338" t="str">
        <f>HP_1!A32</f>
        <v>Is a Back Up Space Heater Present within Dwelling</v>
      </c>
      <c r="B114" s="343" t="str">
        <f>HP_1!B32</f>
        <v>No</v>
      </c>
      <c r="C114" s="345" t="str" cm="1">
        <f t="array" aca="1" ref="C114" ca="1">INDIRECT($F114&amp;C$90&amp;"!"&amp;$G114)</f>
        <v>No</v>
      </c>
      <c r="D114" s="345" t="str" cm="1">
        <f t="array" aca="1" ref="D114" ca="1">INDIRECT($F114&amp;D$90&amp;"!"&amp;$G114)</f>
        <v>No</v>
      </c>
      <c r="E114" s="341" t="str">
        <f t="shared" ca="1" si="2"/>
        <v>No</v>
      </c>
      <c r="F114" s="339" t="str">
        <f t="shared" ca="1" si="3"/>
        <v>HP_</v>
      </c>
      <c r="G114" s="339" t="str">
        <f t="shared" ca="1" si="4"/>
        <v>B32</v>
      </c>
      <c r="H114" s="339" t="str">
        <f t="shared" ca="1" si="5"/>
        <v>HP_1!B32</v>
      </c>
    </row>
    <row r="115" spans="1:8">
      <c r="A115" s="338" t="str">
        <f>HP_1!A33</f>
        <v>Back Up Space Heater Fuel</v>
      </c>
      <c r="B115" s="343" t="str">
        <f>HP_1!B33</f>
        <v>Electricity</v>
      </c>
      <c r="C115" s="345" t="str" cm="1">
        <f t="array" aca="1" ref="C115" ca="1">INDIRECT($F115&amp;C$90&amp;"!"&amp;$G115)</f>
        <v>Electricity</v>
      </c>
      <c r="D115" s="345" t="str" cm="1">
        <f t="array" aca="1" ref="D115" ca="1">INDIRECT($F115&amp;D$90&amp;"!"&amp;$G115)</f>
        <v>Electricity</v>
      </c>
      <c r="E115" s="341" t="str">
        <f t="shared" ca="1" si="2"/>
        <v>Electricity</v>
      </c>
      <c r="F115" s="339" t="str">
        <f t="shared" ca="1" si="3"/>
        <v>HP_</v>
      </c>
      <c r="G115" s="339" t="str">
        <f t="shared" ca="1" si="4"/>
        <v>B33</v>
      </c>
      <c r="H115" s="339" t="str">
        <f t="shared" ca="1" si="5"/>
        <v>HP_1!B33</v>
      </c>
    </row>
    <row r="116" spans="1:8" ht="24">
      <c r="A116" s="338" t="str">
        <f>HP_1!A34</f>
        <v>Primary Energy Factor for Back Up Space Heater</v>
      </c>
      <c r="B116" s="343">
        <f>HP_1!B34</f>
        <v>2.08</v>
      </c>
      <c r="C116" s="345" cm="1">
        <f t="array" aca="1" ref="C116" ca="1">INDIRECT($F116&amp;C$90&amp;"!"&amp;$G116)</f>
        <v>2.08</v>
      </c>
      <c r="D116" s="345" cm="1">
        <f t="array" aca="1" ref="D116" ca="1">INDIRECT($F116&amp;D$90&amp;"!"&amp;$G116)</f>
        <v>2.08</v>
      </c>
      <c r="E116" s="341">
        <f t="shared" ca="1" si="2"/>
        <v>2.08</v>
      </c>
      <c r="F116" s="339" t="str">
        <f t="shared" ca="1" si="3"/>
        <v>HP_</v>
      </c>
      <c r="G116" s="339" t="str">
        <f t="shared" ca="1" si="4"/>
        <v>B34</v>
      </c>
      <c r="H116" s="339" t="str">
        <f t="shared" ca="1" si="5"/>
        <v>HP_1!B34</v>
      </c>
    </row>
    <row r="117" spans="1:8">
      <c r="A117" s="338" t="str">
        <f>HP_1!A35</f>
        <v>Efficiency of Back up Space Heater</v>
      </c>
      <c r="B117" s="343">
        <f>HP_1!B35</f>
        <v>0</v>
      </c>
      <c r="C117" s="345" cm="1">
        <f t="array" aca="1" ref="C117" ca="1">INDIRECT($F117&amp;C$90&amp;"!"&amp;$G117)</f>
        <v>0</v>
      </c>
      <c r="D117" s="345" cm="1">
        <f t="array" aca="1" ref="D117" ca="1">INDIRECT($F117&amp;D$90&amp;"!"&amp;$G117)</f>
        <v>0</v>
      </c>
      <c r="E117" s="341">
        <f t="shared" ca="1" si="2"/>
        <v>0</v>
      </c>
      <c r="F117" s="339" t="str">
        <f t="shared" ca="1" si="3"/>
        <v>HP_</v>
      </c>
      <c r="G117" s="339" t="str">
        <f t="shared" ca="1" si="4"/>
        <v>B35</v>
      </c>
      <c r="H117" s="339" t="str">
        <f t="shared" ca="1" si="5"/>
        <v>HP_1!B35</v>
      </c>
    </row>
    <row r="118" spans="1:8" ht="24">
      <c r="A118" s="338" t="str">
        <f>HP_1!A36</f>
        <v>Adjusted Efficiency of Back up Space Heater relative to fuel used for heat pump</v>
      </c>
      <c r="B118" s="349">
        <f>HP_1!B36</f>
        <v>1</v>
      </c>
      <c r="C118" s="345" cm="1">
        <f t="array" aca="1" ref="C118" ca="1">INDIRECT($F118&amp;C$90&amp;"!"&amp;$G118)</f>
        <v>1</v>
      </c>
      <c r="D118" s="345" cm="1">
        <f t="array" aca="1" ref="D118" ca="1">INDIRECT($F118&amp;D$90&amp;"!"&amp;$G118)</f>
        <v>1</v>
      </c>
      <c r="E118" s="342">
        <f t="shared" ca="1" si="2"/>
        <v>1</v>
      </c>
      <c r="F118" s="339" t="str">
        <f t="shared" ca="1" si="3"/>
        <v>HP_</v>
      </c>
      <c r="G118" s="339" t="str">
        <f t="shared" ca="1" si="4"/>
        <v>B36</v>
      </c>
      <c r="H118" s="339" t="str">
        <f t="shared" ca="1" si="5"/>
        <v>HP_1!B36</v>
      </c>
    </row>
    <row r="119" spans="1:8" ht="24">
      <c r="A119" s="338" t="str">
        <f>HP_1!A65</f>
        <v>Type of heat pump</v>
      </c>
      <c r="B119" s="349" t="str">
        <f>HP_1!B65</f>
        <v>Air to Water</v>
      </c>
      <c r="C119" s="345" t="str" cm="1">
        <f t="array" aca="1" ref="C119" ca="1">INDIRECT($F119&amp;C$90&amp;"!"&amp;$G119)</f>
        <v>Air to Water</v>
      </c>
      <c r="D119" s="345" t="str" cm="1">
        <f t="array" aca="1" ref="D119" ca="1">INDIRECT($F119&amp;D$90&amp;"!"&amp;$G119)</f>
        <v>Air to Water</v>
      </c>
      <c r="E119" s="342" t="str">
        <f t="shared" ca="1" si="2"/>
        <v>Air to Water</v>
      </c>
      <c r="F119" s="339" t="str">
        <f t="shared" ca="1" si="3"/>
        <v>HP_</v>
      </c>
      <c r="G119" s="339" t="str">
        <f t="shared" ca="1" si="4"/>
        <v>B65</v>
      </c>
      <c r="H119" s="339" t="str">
        <f t="shared" ca="1" si="5"/>
        <v>HP_1!B65</v>
      </c>
    </row>
    <row r="120" spans="1:8" ht="36">
      <c r="A120" s="338" t="str">
        <f>HP_1!A66</f>
        <v>Temperature Control 
(refered to as Capacity Control in Ecodesign Standard Template)</v>
      </c>
      <c r="B120" s="349" t="str">
        <f>HP_1!B66</f>
        <v>Fixed Outlet</v>
      </c>
      <c r="C120" s="345" t="str" cm="1">
        <f t="array" aca="1" ref="C120" ca="1">INDIRECT($F120&amp;C$90&amp;"!"&amp;$G120)</f>
        <v>Fixed Outlet</v>
      </c>
      <c r="D120" s="345" t="str" cm="1">
        <f t="array" aca="1" ref="D120" ca="1">INDIRECT($F120&amp;D$90&amp;"!"&amp;$G120)</f>
        <v>Fixed Outlet</v>
      </c>
      <c r="E120" s="342" t="str">
        <f t="shared" ca="1" si="2"/>
        <v>Fixed Outlet</v>
      </c>
      <c r="F120" s="339" t="str">
        <f t="shared" ca="1" si="3"/>
        <v>HP_</v>
      </c>
      <c r="G120" s="339" t="str">
        <f t="shared" ca="1" si="4"/>
        <v>B66</v>
      </c>
      <c r="H120" s="339" t="str">
        <f t="shared" ca="1" si="5"/>
        <v>HP_1!B66</v>
      </c>
    </row>
    <row r="121" spans="1:8" ht="108">
      <c r="A121" s="338" t="str">
        <f>HP_1!A67</f>
        <v>Describe the water heating heat pump arrangement</v>
      </c>
      <c r="B121" s="349" t="str">
        <f>HP_1!B67</f>
        <v>Same Heat Pump providing Space Heating and Domestic Hot Water</v>
      </c>
      <c r="C121" s="345" t="str" cm="1">
        <f t="array" aca="1" ref="C121" ca="1">INDIRECT($F121&amp;C$90&amp;"!"&amp;$G121)</f>
        <v>Same Heat Pump providing Space Heating and Domestic Hot Water</v>
      </c>
      <c r="D121" s="345" t="str" cm="1">
        <f t="array" aca="1" ref="D121" ca="1">INDIRECT($F121&amp;D$90&amp;"!"&amp;$G121)</f>
        <v>Same Heat Pump providing Space Heating and Domestic Hot Water</v>
      </c>
      <c r="E121" s="342" t="str">
        <f t="shared" ca="1" si="2"/>
        <v>Same Heat Pump providing Space Heating and Domestic Hot Water</v>
      </c>
      <c r="F121" s="339" t="str">
        <f t="shared" ca="1" si="3"/>
        <v>HP_</v>
      </c>
      <c r="G121" s="339" t="str">
        <f t="shared" ca="1" si="4"/>
        <v>B67</v>
      </c>
      <c r="H121" s="339" t="str">
        <f t="shared" ca="1" si="5"/>
        <v>HP_1!B67</v>
      </c>
    </row>
    <row r="122" spans="1:8" ht="24">
      <c r="A122" s="338" t="str">
        <f>HP_1!A68</f>
        <v>Water Heating Test Standard</v>
      </c>
      <c r="B122" s="349" t="str">
        <f>HP_1!B68</f>
        <v>I.S. EN 16147</v>
      </c>
      <c r="C122" s="345" t="str" cm="1">
        <f t="array" aca="1" ref="C122" ca="1">INDIRECT($F122&amp;C$90&amp;"!"&amp;$G122)</f>
        <v>I.S. EN 16147</v>
      </c>
      <c r="D122" s="345" t="str" cm="1">
        <f t="array" aca="1" ref="D122" ca="1">INDIRECT($F122&amp;D$90&amp;"!"&amp;$G122)</f>
        <v>I.S. EN 16147</v>
      </c>
      <c r="E122" s="342" t="str">
        <f t="shared" ca="1" si="2"/>
        <v>I.S. EN 16147</v>
      </c>
      <c r="F122" s="339" t="str">
        <f t="shared" ca="1" si="3"/>
        <v>HP_</v>
      </c>
      <c r="G122" s="339" t="str">
        <f t="shared" ca="1" si="4"/>
        <v>B68</v>
      </c>
      <c r="H122" s="339" t="str">
        <f t="shared" ca="1" si="5"/>
        <v>HP_1!B68</v>
      </c>
    </row>
    <row r="123" spans="1:8">
      <c r="A123" s="338" t="str">
        <f>HP_1!A69</f>
        <v>Output from Main Water Heater</v>
      </c>
      <c r="B123" s="350">
        <f>HP_1!B69</f>
        <v>0</v>
      </c>
      <c r="C123" s="345" cm="1">
        <f t="array" aca="1" ref="C123" ca="1">INDIRECT($F123&amp;C$90&amp;"!"&amp;$G123)</f>
        <v>0</v>
      </c>
      <c r="D123" s="345" cm="1">
        <f t="array" aca="1" ref="D123" ca="1">INDIRECT($F123&amp;D$90&amp;"!"&amp;$G123)</f>
        <v>0</v>
      </c>
      <c r="E123" s="344">
        <f t="shared" ca="1" si="2"/>
        <v>0</v>
      </c>
      <c r="F123" s="339" t="str">
        <f t="shared" ca="1" si="3"/>
        <v>HP_</v>
      </c>
      <c r="G123" s="339" t="str">
        <f t="shared" ca="1" si="4"/>
        <v>B69</v>
      </c>
      <c r="H123" s="339" t="str">
        <f t="shared" ca="1" si="5"/>
        <v>HP_1!B69</v>
      </c>
    </row>
    <row r="124" spans="1:8" ht="36">
      <c r="A124" s="338" t="str">
        <f>HP_1!A70</f>
        <v>Type of DHW</v>
      </c>
      <c r="B124" s="350" t="str">
        <f>HP_1!B70</f>
        <v>Separate Hot Water Storage</v>
      </c>
      <c r="C124" s="345" t="str" cm="1">
        <f t="array" aca="1" ref="C124" ca="1">INDIRECT($F124&amp;C$90&amp;"!"&amp;$G124)</f>
        <v>Separate Hot Water Storage</v>
      </c>
      <c r="D124" s="345" t="str" cm="1">
        <f t="array" aca="1" ref="D124" ca="1">INDIRECT($F124&amp;D$90&amp;"!"&amp;$G124)</f>
        <v>Separate Hot Water Storage</v>
      </c>
      <c r="E124" s="342" t="str">
        <f t="shared" ca="1" si="2"/>
        <v>Separate Hot Water Storage</v>
      </c>
      <c r="F124" s="339" t="str">
        <f t="shared" ca="1" si="3"/>
        <v>HP_</v>
      </c>
      <c r="G124" s="339" t="str">
        <f t="shared" ca="1" si="4"/>
        <v>B70</v>
      </c>
      <c r="H124" s="339" t="str">
        <f t="shared" ca="1" si="5"/>
        <v>HP_1!B70</v>
      </c>
    </row>
    <row r="125" spans="1:8">
      <c r="A125" s="338" t="str">
        <f>HP_1!A71</f>
        <v>Cold Water Inlet Temperature</v>
      </c>
      <c r="B125" s="350">
        <f>HP_1!B71</f>
        <v>10</v>
      </c>
      <c r="C125" s="345" cm="1">
        <f t="array" aca="1" ref="C125" ca="1">INDIRECT($F125&amp;C$90&amp;"!"&amp;$G125)</f>
        <v>10</v>
      </c>
      <c r="D125" s="345" cm="1">
        <f t="array" aca="1" ref="D125" ca="1">INDIRECT($F125&amp;D$90&amp;"!"&amp;$G125)</f>
        <v>10</v>
      </c>
      <c r="E125" s="344">
        <f t="shared" ca="1" si="2"/>
        <v>10</v>
      </c>
      <c r="F125" s="339" t="str">
        <f t="shared" ca="1" si="3"/>
        <v>HP_</v>
      </c>
      <c r="G125" s="339" t="str">
        <f t="shared" ca="1" si="4"/>
        <v>B71</v>
      </c>
      <c r="H125" s="339" t="str">
        <f t="shared" ca="1" si="5"/>
        <v>HP_1!B71</v>
      </c>
    </row>
    <row r="126" spans="1:8" ht="24">
      <c r="A126" s="338" t="str">
        <f>HP_1!A72</f>
        <v>Required Flow Temperature from Heat Pump to Hot Water Storage</v>
      </c>
      <c r="B126" s="350">
        <f>HP_1!B72</f>
        <v>65</v>
      </c>
      <c r="C126" s="345" cm="1">
        <f t="array" aca="1" ref="C126" ca="1">INDIRECT($F126&amp;C$90&amp;"!"&amp;$G126)</f>
        <v>65</v>
      </c>
      <c r="D126" s="345" cm="1">
        <f t="array" aca="1" ref="D126" ca="1">INDIRECT($F126&amp;D$90&amp;"!"&amp;$G126)</f>
        <v>65</v>
      </c>
      <c r="E126" s="344">
        <f t="shared" ca="1" si="2"/>
        <v>65</v>
      </c>
      <c r="F126" s="339" t="str">
        <f t="shared" ca="1" si="3"/>
        <v>HP_</v>
      </c>
      <c r="G126" s="339" t="str">
        <f t="shared" ca="1" si="4"/>
        <v>B72</v>
      </c>
      <c r="H126" s="339" t="str">
        <f t="shared" ca="1" si="5"/>
        <v>HP_1!B72</v>
      </c>
    </row>
    <row r="127" spans="1:8">
      <c r="A127" s="338" t="str">
        <f>HP_1!A73</f>
        <v>Volume of DHW Storage</v>
      </c>
      <c r="B127" s="350">
        <f>HP_1!B73</f>
        <v>0</v>
      </c>
      <c r="C127" s="345" cm="1">
        <f t="array" aca="1" ref="C127" ca="1">INDIRECT($F127&amp;C$90&amp;"!"&amp;$G127)</f>
        <v>0</v>
      </c>
      <c r="D127" s="345" cm="1">
        <f t="array" aca="1" ref="D127" ca="1">INDIRECT($F127&amp;D$90&amp;"!"&amp;$G127)</f>
        <v>0</v>
      </c>
      <c r="E127" s="344">
        <f t="shared" ca="1" si="2"/>
        <v>0</v>
      </c>
      <c r="F127" s="339" t="str">
        <f t="shared" ca="1" si="3"/>
        <v>HP_</v>
      </c>
      <c r="G127" s="339" t="str">
        <f t="shared" ca="1" si="4"/>
        <v>B73</v>
      </c>
      <c r="H127" s="339" t="str">
        <f t="shared" ca="1" si="5"/>
        <v>HP_1!B73</v>
      </c>
    </row>
    <row r="128" spans="1:8" ht="24">
      <c r="A128" s="338" t="str">
        <f>HP_1!A74</f>
        <v>Is there a water heater installed as back up for the heat pump</v>
      </c>
      <c r="B128" s="350" t="str">
        <f>HP_1!B74</f>
        <v>No</v>
      </c>
      <c r="C128" s="345" t="str" cm="1">
        <f t="array" aca="1" ref="C128" ca="1">INDIRECT($F128&amp;C$90&amp;"!"&amp;$G128)</f>
        <v>No</v>
      </c>
      <c r="D128" s="345" t="str" cm="1">
        <f t="array" aca="1" ref="D128" ca="1">INDIRECT($F128&amp;D$90&amp;"!"&amp;$G128)</f>
        <v>No</v>
      </c>
      <c r="E128" s="342" t="str">
        <f t="shared" ca="1" si="2"/>
        <v>No</v>
      </c>
      <c r="F128" s="339" t="str">
        <f t="shared" ca="1" si="3"/>
        <v>HP_</v>
      </c>
      <c r="G128" s="339" t="str">
        <f t="shared" ca="1" si="4"/>
        <v>B74</v>
      </c>
      <c r="H128" s="339" t="str">
        <f t="shared" ca="1" si="5"/>
        <v>HP_1!B74</v>
      </c>
    </row>
    <row r="129" spans="1:8">
      <c r="A129" s="338" t="str">
        <f>HP_1!A75</f>
        <v>Back Up Water Heater Fuel</v>
      </c>
      <c r="B129" s="350" t="str">
        <f>HP_1!B75</f>
        <v>Electricity</v>
      </c>
      <c r="C129" s="345" t="str" cm="1">
        <f t="array" aca="1" ref="C129" ca="1">INDIRECT($F129&amp;C$90&amp;"!"&amp;$G129)</f>
        <v>Electricity</v>
      </c>
      <c r="D129" s="345" t="str" cm="1">
        <f t="array" aca="1" ref="D129" ca="1">INDIRECT($F129&amp;D$90&amp;"!"&amp;$G129)</f>
        <v>Electricity</v>
      </c>
      <c r="E129" s="342" t="str">
        <f t="shared" ca="1" si="2"/>
        <v>Electricity</v>
      </c>
      <c r="F129" s="339" t="str">
        <f t="shared" ca="1" si="3"/>
        <v>HP_</v>
      </c>
      <c r="G129" s="339" t="str">
        <f t="shared" ca="1" si="4"/>
        <v>B75</v>
      </c>
      <c r="H129" s="339" t="str">
        <f t="shared" ca="1" si="5"/>
        <v>HP_1!B75</v>
      </c>
    </row>
    <row r="130" spans="1:8" ht="24">
      <c r="A130" s="338" t="str">
        <f>HP_1!A76</f>
        <v>Primary Energy Factor for Back Up Water Heater</v>
      </c>
      <c r="B130" s="350">
        <f>HP_1!B76</f>
        <v>2.08</v>
      </c>
      <c r="C130" s="345" cm="1">
        <f t="array" aca="1" ref="C130" ca="1">INDIRECT($F130&amp;C$90&amp;"!"&amp;$G130)</f>
        <v>2.08</v>
      </c>
      <c r="D130" s="345" cm="1">
        <f t="array" aca="1" ref="D130" ca="1">INDIRECT($F130&amp;D$90&amp;"!"&amp;$G130)</f>
        <v>2.08</v>
      </c>
      <c r="E130" s="344">
        <f t="shared" ca="1" si="2"/>
        <v>2.08</v>
      </c>
      <c r="F130" s="339" t="str">
        <f t="shared" ca="1" si="3"/>
        <v>HP_</v>
      </c>
      <c r="G130" s="339" t="str">
        <f t="shared" ca="1" si="4"/>
        <v>B76</v>
      </c>
      <c r="H130" s="339" t="str">
        <f t="shared" ca="1" si="5"/>
        <v>HP_1!B76</v>
      </c>
    </row>
    <row r="131" spans="1:8">
      <c r="A131" s="338" t="str">
        <f>HP_1!A77</f>
        <v>Efficiency of Back up Water Heater</v>
      </c>
      <c r="B131" s="350">
        <f>HP_1!B77</f>
        <v>0</v>
      </c>
      <c r="C131" s="345" cm="1">
        <f t="array" aca="1" ref="C131" ca="1">INDIRECT($F131&amp;C$90&amp;"!"&amp;$G131)</f>
        <v>0</v>
      </c>
      <c r="D131" s="345" cm="1">
        <f t="array" aca="1" ref="D131" ca="1">INDIRECT($F131&amp;D$90&amp;"!"&amp;$G131)</f>
        <v>0</v>
      </c>
      <c r="E131" s="342">
        <f t="shared" ca="1" si="2"/>
        <v>0</v>
      </c>
      <c r="F131" s="339" t="str">
        <f t="shared" ca="1" si="3"/>
        <v>HP_</v>
      </c>
      <c r="G131" s="339" t="str">
        <f t="shared" ca="1" si="4"/>
        <v>B77</v>
      </c>
      <c r="H131" s="339" t="str">
        <f t="shared" ca="1" si="5"/>
        <v>HP_1!B77</v>
      </c>
    </row>
    <row r="132" spans="1:8" ht="24">
      <c r="A132" s="338" t="str">
        <f>HP_1!A78</f>
        <v>Adjusted Efficiency of Back up Water Heater relative to fuel used by heat pump</v>
      </c>
      <c r="B132" s="350">
        <f>HP_1!B78</f>
        <v>1</v>
      </c>
      <c r="C132" s="345" cm="1">
        <f t="array" aca="1" ref="C132" ca="1">INDIRECT($F132&amp;C$90&amp;"!"&amp;$G132)</f>
        <v>1</v>
      </c>
      <c r="D132" s="345" cm="1">
        <f t="array" aca="1" ref="D132" ca="1">INDIRECT($F132&amp;D$90&amp;"!"&amp;$G132)</f>
        <v>1</v>
      </c>
      <c r="E132" s="342">
        <f t="shared" ca="1" si="2"/>
        <v>1</v>
      </c>
      <c r="F132" s="339" t="str">
        <f t="shared" ca="1" si="3"/>
        <v>HP_</v>
      </c>
      <c r="G132" s="339" t="str">
        <f t="shared" ca="1" si="4"/>
        <v>B78</v>
      </c>
      <c r="H132" s="339" t="str">
        <f t="shared" ca="1" si="5"/>
        <v>HP_1!B78</v>
      </c>
    </row>
    <row r="133" spans="1:8" ht="60">
      <c r="A133" s="338" t="str">
        <f>HP_1!A81</f>
        <v>Source of data</v>
      </c>
      <c r="B133" s="350" t="str">
        <f>HP_1!B81</f>
        <v>Water heating energy efficiency, ηwh</v>
      </c>
      <c r="C133" s="345" t="str" cm="1">
        <f t="array" aca="1" ref="C133" ca="1">INDIRECT($F133&amp;C$90&amp;"!"&amp;$G133)</f>
        <v>Water heating energy efficiency, ηwh</v>
      </c>
      <c r="D133" s="345" t="str" cm="1">
        <f t="array" aca="1" ref="D133" ca="1">INDIRECT($F133&amp;D$90&amp;"!"&amp;$G133)</f>
        <v>Water heating energy efficiency, ηwh</v>
      </c>
      <c r="E133" s="342" t="str">
        <f t="shared" ca="1" si="2"/>
        <v>Water heating energy efficiency, ηwh</v>
      </c>
      <c r="F133" s="339" t="str">
        <f t="shared" ca="1" si="3"/>
        <v>HP_</v>
      </c>
      <c r="G133" s="339" t="str">
        <f t="shared" ca="1" si="4"/>
        <v>B81</v>
      </c>
      <c r="H133" s="339" t="str">
        <f t="shared" ca="1" si="5"/>
        <v>HP_1!B81</v>
      </c>
    </row>
    <row r="134" spans="1:8">
      <c r="A134" s="338" t="str">
        <f>HP_1!A82</f>
        <v>Water heating energy efficiency, ηwh</v>
      </c>
      <c r="B134" s="350">
        <f>HP_1!B82</f>
        <v>0</v>
      </c>
      <c r="C134" s="345" cm="1">
        <f t="array" aca="1" ref="C134" ca="1">INDIRECT($F134&amp;C$90&amp;"!"&amp;$G134)</f>
        <v>0</v>
      </c>
      <c r="D134" s="345" cm="1">
        <f t="array" aca="1" ref="D134" ca="1">INDIRECT($F134&amp;D$90&amp;"!"&amp;$G134)</f>
        <v>0</v>
      </c>
      <c r="E134" s="344">
        <f t="shared" ca="1" si="2"/>
        <v>0</v>
      </c>
      <c r="F134" s="339" t="str">
        <f t="shared" ca="1" si="3"/>
        <v>HP_</v>
      </c>
      <c r="G134" s="339" t="str">
        <f t="shared" ca="1" si="4"/>
        <v>B82</v>
      </c>
      <c r="H134" s="339" t="str">
        <f t="shared" ca="1" si="5"/>
        <v>HP_1!B82</v>
      </c>
    </row>
    <row r="135" spans="1:8">
      <c r="A135" s="338" t="str">
        <f>HP_1!A83</f>
        <v xml:space="preserve">Equivalent Coefficient of Performance </v>
      </c>
      <c r="B135" s="350">
        <f>HP_1!B83</f>
        <v>0</v>
      </c>
      <c r="C135" s="345" cm="1">
        <f t="array" aca="1" ref="C135" ca="1">INDIRECT($F135&amp;C$90&amp;"!"&amp;$G135)</f>
        <v>0</v>
      </c>
      <c r="D135" s="345" cm="1">
        <f t="array" aca="1" ref="D135" ca="1">INDIRECT($F135&amp;D$90&amp;"!"&amp;$G135)</f>
        <v>0</v>
      </c>
      <c r="E135" s="344">
        <f t="shared" ca="1" si="2"/>
        <v>0</v>
      </c>
      <c r="F135" s="339" t="str">
        <f t="shared" ca="1" si="3"/>
        <v>HP_</v>
      </c>
      <c r="G135" s="339" t="str">
        <f t="shared" ca="1" si="4"/>
        <v>B83</v>
      </c>
      <c r="H135" s="339" t="str">
        <f t="shared" ca="1" si="5"/>
        <v>HP_1!B83</v>
      </c>
    </row>
    <row r="136" spans="1:8">
      <c r="A136" s="338" t="str">
        <f>HP_1!A84</f>
        <v>Reference Hot Water Temperature</v>
      </c>
      <c r="B136" s="350" t="str">
        <f>HP_1!B84</f>
        <v xml:space="preserve"> </v>
      </c>
      <c r="C136" s="345" cm="1">
        <f t="array" aca="1" ref="C136" ca="1">INDIRECT($F136&amp;C$90&amp;"!"&amp;$G136)</f>
        <v>0</v>
      </c>
      <c r="D136" s="345" cm="1">
        <f t="array" aca="1" ref="D136" ca="1">INDIRECT($F136&amp;D$90&amp;"!"&amp;$G136)</f>
        <v>0</v>
      </c>
      <c r="E136" s="344">
        <f t="shared" ca="1" si="2"/>
        <v>0</v>
      </c>
      <c r="F136" s="339" t="str">
        <f t="shared" ca="1" si="3"/>
        <v>HP_</v>
      </c>
      <c r="G136" s="339" t="str">
        <f t="shared" ca="1" si="4"/>
        <v>B84</v>
      </c>
      <c r="H136" s="339" t="str">
        <f t="shared" ca="1" si="5"/>
        <v>HP_1!B84</v>
      </c>
    </row>
    <row r="137" spans="1:8">
      <c r="A137" s="338" t="str">
        <f>HP_1!A85</f>
        <v>Required Source Temperature</v>
      </c>
      <c r="B137" s="350">
        <f>HP_1!B85</f>
        <v>7</v>
      </c>
      <c r="C137" s="345" cm="1">
        <f t="array" aca="1" ref="C137" ca="1">INDIRECT($F137&amp;C$90&amp;"!"&amp;$G137)</f>
        <v>7</v>
      </c>
      <c r="D137" s="345" cm="1">
        <f t="array" aca="1" ref="D137" ca="1">INDIRECT($F137&amp;D$90&amp;"!"&amp;$G137)</f>
        <v>7</v>
      </c>
      <c r="E137" s="344">
        <f t="shared" ca="1" si="2"/>
        <v>7</v>
      </c>
      <c r="F137" s="339" t="str">
        <f t="shared" ca="1" si="3"/>
        <v>HP_</v>
      </c>
      <c r="G137" s="339" t="str">
        <f t="shared" ca="1" si="4"/>
        <v>B85</v>
      </c>
      <c r="H137" s="339" t="str">
        <f t="shared" ca="1" si="5"/>
        <v>HP_1!B85</v>
      </c>
    </row>
    <row r="138" spans="1:8">
      <c r="A138" s="338" t="str">
        <f>HP_1!A86</f>
        <v>Capacity of Heat Pump</v>
      </c>
      <c r="B138" s="350">
        <f>HP_1!B86</f>
        <v>0</v>
      </c>
      <c r="C138" s="345" cm="1">
        <f t="array" aca="1" ref="C138" ca="1">INDIRECT($F138&amp;C$90&amp;"!"&amp;$G138)</f>
        <v>0</v>
      </c>
      <c r="D138" s="345" cm="1">
        <f t="array" aca="1" ref="D138" ca="1">INDIRECT($F138&amp;D$90&amp;"!"&amp;$G138)</f>
        <v>0</v>
      </c>
      <c r="E138" s="344">
        <f t="shared" ca="1" si="2"/>
        <v>0</v>
      </c>
      <c r="F138" s="339" t="str">
        <f t="shared" ca="1" si="3"/>
        <v>HP_</v>
      </c>
      <c r="G138" s="339" t="str">
        <f t="shared" ca="1" si="4"/>
        <v>B86</v>
      </c>
      <c r="H138" s="339" t="str">
        <f t="shared" ca="1" si="5"/>
        <v>HP_1!B86</v>
      </c>
    </row>
    <row r="139" spans="1:8">
      <c r="A139" s="338" t="str">
        <f>HP_1!A87</f>
        <v>Declared Load Profile</v>
      </c>
      <c r="B139" s="350" t="str">
        <f>HP_1!B87</f>
        <v>M</v>
      </c>
      <c r="C139" s="345" t="str" cm="1">
        <f t="array" aca="1" ref="C139" ca="1">INDIRECT($F139&amp;C$90&amp;"!"&amp;$G139)</f>
        <v>M</v>
      </c>
      <c r="D139" s="345" t="str" cm="1">
        <f t="array" aca="1" ref="D139" ca="1">INDIRECT($F139&amp;D$90&amp;"!"&amp;$G139)</f>
        <v>M</v>
      </c>
      <c r="E139" s="342" t="str">
        <f t="shared" ca="1" si="2"/>
        <v>M</v>
      </c>
      <c r="F139" s="339" t="str">
        <f t="shared" ca="1" si="3"/>
        <v>HP_</v>
      </c>
      <c r="G139" s="339" t="str">
        <f t="shared" ca="1" si="4"/>
        <v>B87</v>
      </c>
      <c r="H139" s="339" t="str">
        <f t="shared" ca="1" si="5"/>
        <v>HP_1!B87</v>
      </c>
    </row>
    <row r="140" spans="1:8">
      <c r="A140" s="338" t="str">
        <f>HP_1!A88</f>
        <v>Standby Heat Loss</v>
      </c>
      <c r="B140" s="350">
        <f>HP_1!B88</f>
        <v>0</v>
      </c>
      <c r="C140" s="345" cm="1">
        <f t="array" aca="1" ref="C140" ca="1">INDIRECT($F140&amp;C$90&amp;"!"&amp;$G140)</f>
        <v>0</v>
      </c>
      <c r="D140" s="345" cm="1">
        <f t="array" aca="1" ref="D140" ca="1">INDIRECT($F140&amp;D$90&amp;"!"&amp;$G140)</f>
        <v>0</v>
      </c>
      <c r="E140" s="344">
        <f t="shared" ca="1" si="2"/>
        <v>0</v>
      </c>
      <c r="F140" s="339" t="str">
        <f t="shared" ca="1" si="3"/>
        <v>HP_</v>
      </c>
      <c r="G140" s="339" t="str">
        <f t="shared" ca="1" si="4"/>
        <v>B88</v>
      </c>
      <c r="H140" s="339" t="str">
        <f t="shared" ca="1" si="5"/>
        <v>HP_1!B88</v>
      </c>
    </row>
    <row r="141" spans="1:8">
      <c r="A141" s="338" t="str">
        <f>HP_1!A89</f>
        <v>Volume of DHW accounted for in test</v>
      </c>
      <c r="B141" s="350">
        <f>HP_1!B89</f>
        <v>0</v>
      </c>
      <c r="C141" s="345" cm="1">
        <f t="array" aca="1" ref="C141" ca="1">INDIRECT($F141&amp;C$90&amp;"!"&amp;$G141)</f>
        <v>0</v>
      </c>
      <c r="D141" s="345" cm="1">
        <f t="array" aca="1" ref="D141" ca="1">INDIRECT($F141&amp;D$90&amp;"!"&amp;$G141)</f>
        <v>0</v>
      </c>
      <c r="E141" s="344">
        <f t="shared" ca="1" si="2"/>
        <v>0</v>
      </c>
      <c r="F141" s="339" t="str">
        <f t="shared" ca="1" si="3"/>
        <v>HP_</v>
      </c>
      <c r="G141" s="339" t="str">
        <f t="shared" ca="1" si="4"/>
        <v>B89</v>
      </c>
      <c r="H141" s="339" t="str">
        <f t="shared" ca="1" si="5"/>
        <v>HP_1!B89</v>
      </c>
    </row>
    <row r="142" spans="1:8">
      <c r="A142" s="338" t="str">
        <f>HP_1!A92</f>
        <v>Is the Heat Pump Listed on HARP</v>
      </c>
      <c r="B142" s="350" t="str">
        <f>HP_1!B92</f>
        <v>Yes</v>
      </c>
      <c r="C142" s="345" t="str" cm="1">
        <f t="array" aca="1" ref="C142" ca="1">INDIRECT($F142&amp;C$90&amp;"!"&amp;$G142)</f>
        <v>Yes</v>
      </c>
      <c r="D142" s="345" t="str" cm="1">
        <f t="array" aca="1" ref="D142" ca="1">INDIRECT($F142&amp;D$90&amp;"!"&amp;$G142)</f>
        <v>Yes</v>
      </c>
      <c r="E142" s="342" t="str">
        <f t="shared" ca="1" si="2"/>
        <v>Yes</v>
      </c>
      <c r="F142" s="339" t="str">
        <f t="shared" ca="1" si="3"/>
        <v>HP_</v>
      </c>
      <c r="G142" s="339" t="str">
        <f t="shared" ca="1" si="4"/>
        <v>B92</v>
      </c>
      <c r="H142" s="339" t="str">
        <f t="shared" ca="1" si="5"/>
        <v>HP_1!B92</v>
      </c>
    </row>
    <row r="143" spans="1:8" ht="24">
      <c r="A143" s="338" t="str">
        <f>HP_1!A93</f>
        <v>Enter SPF based on DEAP Methodology/ HARP</v>
      </c>
      <c r="B143" s="350">
        <f>HP_1!B93</f>
        <v>3.33</v>
      </c>
      <c r="C143" s="345" cm="1">
        <f t="array" aca="1" ref="C143" ca="1">INDIRECT($F143&amp;C$90&amp;"!"&amp;$G143)</f>
        <v>3.33</v>
      </c>
      <c r="D143" s="345" cm="1">
        <f t="array" aca="1" ref="D143" ca="1">INDIRECT($F143&amp;D$90&amp;"!"&amp;$G143)</f>
        <v>3.33</v>
      </c>
      <c r="E143" s="344">
        <f t="shared" ca="1" si="2"/>
        <v>3.33</v>
      </c>
      <c r="F143" s="339" t="str">
        <f t="shared" ca="1" si="3"/>
        <v>HP_</v>
      </c>
      <c r="G143" s="339" t="str">
        <f t="shared" ca="1" si="4"/>
        <v>B93</v>
      </c>
      <c r="H143" s="339" t="str">
        <f t="shared" ca="1" si="5"/>
        <v>HP_1!B93</v>
      </c>
    </row>
    <row r="144" spans="1:8" ht="24">
      <c r="A144" s="338" t="str">
        <f>HP_1!A94</f>
        <v>Is there load or weather compensation present?</v>
      </c>
      <c r="B144" s="350" t="str">
        <f>HP_1!B94</f>
        <v>Yes</v>
      </c>
      <c r="C144" s="345" t="str" cm="1">
        <f t="array" aca="1" ref="C144" ca="1">INDIRECT($F144&amp;C$90&amp;"!"&amp;$G144)</f>
        <v>Yes</v>
      </c>
      <c r="D144" s="345" t="str" cm="1">
        <f t="array" aca="1" ref="D144" ca="1">INDIRECT($F144&amp;D$90&amp;"!"&amp;$G144)</f>
        <v>Yes</v>
      </c>
      <c r="E144" s="342" t="str">
        <f t="shared" ca="1" si="2"/>
        <v>Yes</v>
      </c>
      <c r="F144" s="339" t="str">
        <f t="shared" ca="1" si="3"/>
        <v>HP_</v>
      </c>
      <c r="G144" s="339" t="str">
        <f t="shared" ca="1" si="4"/>
        <v>B94</v>
      </c>
      <c r="H144" s="339" t="str">
        <f t="shared" ca="1" si="5"/>
        <v>HP_1!B94</v>
      </c>
    </row>
    <row r="145" spans="1:8" ht="24">
      <c r="A145" s="338" t="str">
        <f>HP_1!A95</f>
        <v>Does the heat pump have an Integral Immersion</v>
      </c>
      <c r="B145" s="350" t="str">
        <f>HP_1!B95</f>
        <v>No</v>
      </c>
      <c r="C145" s="345" t="str" cm="1">
        <f t="array" aca="1" ref="C145" ca="1">INDIRECT($F145&amp;C$90&amp;"!"&amp;$G145)</f>
        <v>No</v>
      </c>
      <c r="D145" s="345" t="str" cm="1">
        <f t="array" aca="1" ref="D145" ca="1">INDIRECT($F145&amp;D$90&amp;"!"&amp;$G145)</f>
        <v>No</v>
      </c>
      <c r="E145" s="342" t="str">
        <f t="shared" ca="1" si="2"/>
        <v>No</v>
      </c>
      <c r="F145" s="339" t="str">
        <f t="shared" ca="1" si="3"/>
        <v>HP_</v>
      </c>
      <c r="G145" s="339" t="str">
        <f t="shared" ca="1" si="4"/>
        <v>B95</v>
      </c>
      <c r="H145" s="339" t="str">
        <f t="shared" ca="1" si="5"/>
        <v>HP_1!B95</v>
      </c>
    </row>
    <row r="146" spans="1:8" ht="24">
      <c r="A146" s="338" t="str">
        <f>HP_1!A96</f>
        <v>Does heat pump reach a flow temperature of &gt;=65oC</v>
      </c>
      <c r="B146" s="350" t="str">
        <f>HP_1!B96</f>
        <v>Yes</v>
      </c>
      <c r="C146" s="345" t="str" cm="1">
        <f t="array" aca="1" ref="C146" ca="1">INDIRECT($F146&amp;C$90&amp;"!"&amp;$G146)</f>
        <v>Yes</v>
      </c>
      <c r="D146" s="345" t="str" cm="1">
        <f t="array" aca="1" ref="D146" ca="1">INDIRECT($F146&amp;D$90&amp;"!"&amp;$G146)</f>
        <v>Yes</v>
      </c>
      <c r="E146" s="342" t="str">
        <f t="shared" ca="1" si="2"/>
        <v>Yes</v>
      </c>
      <c r="F146" s="339" t="str">
        <f t="shared" ca="1" si="3"/>
        <v>HP_</v>
      </c>
      <c r="G146" s="339" t="str">
        <f t="shared" ca="1" si="4"/>
        <v>B96</v>
      </c>
      <c r="H146" s="339" t="str">
        <f t="shared" ca="1" si="5"/>
        <v>HP_1!B96</v>
      </c>
    </row>
    <row r="147" spans="1:8">
      <c r="A147" s="338" t="str">
        <f>HP_1!A100</f>
        <v>Coefficient of Performance</v>
      </c>
      <c r="B147" s="350">
        <f>HP_1!B100</f>
        <v>3.2</v>
      </c>
      <c r="C147" s="345" cm="1">
        <f t="array" aca="1" ref="C147" ca="1">INDIRECT($F147&amp;C$90&amp;"!"&amp;$G147)</f>
        <v>3.2</v>
      </c>
      <c r="D147" s="345" cm="1">
        <f t="array" aca="1" ref="D147" ca="1">INDIRECT($F147&amp;D$90&amp;"!"&amp;$G147)</f>
        <v>3.2</v>
      </c>
      <c r="E147" s="344">
        <f t="shared" ca="1" si="2"/>
        <v>3.2</v>
      </c>
      <c r="F147" s="339" t="str">
        <f t="shared" ca="1" si="3"/>
        <v>HP_</v>
      </c>
      <c r="G147" s="339" t="str">
        <f t="shared" ca="1" si="4"/>
        <v>B100</v>
      </c>
      <c r="H147" s="339" t="str">
        <f t="shared" ca="1" si="5"/>
        <v>HP_1!B100</v>
      </c>
    </row>
    <row r="148" spans="1:8">
      <c r="A148" s="338" t="str">
        <f>HP_1!A101</f>
        <v>Reference Hot Water Temperature</v>
      </c>
      <c r="B148" s="350">
        <f>HP_1!B101</f>
        <v>54</v>
      </c>
      <c r="C148" s="345" cm="1">
        <f t="array" aca="1" ref="C148" ca="1">INDIRECT($F148&amp;C$90&amp;"!"&amp;$G148)</f>
        <v>54</v>
      </c>
      <c r="D148" s="345" cm="1">
        <f t="array" aca="1" ref="D148" ca="1">INDIRECT($F148&amp;D$90&amp;"!"&amp;$G148)</f>
        <v>54</v>
      </c>
      <c r="E148" s="344">
        <f t="shared" ca="1" si="2"/>
        <v>54</v>
      </c>
      <c r="F148" s="339" t="str">
        <f t="shared" ca="1" si="3"/>
        <v>HP_</v>
      </c>
      <c r="G148" s="339" t="str">
        <f t="shared" ca="1" si="4"/>
        <v>B101</v>
      </c>
      <c r="H148" s="339" t="str">
        <f t="shared" ca="1" si="5"/>
        <v>HP_1!B101</v>
      </c>
    </row>
    <row r="149" spans="1:8">
      <c r="A149" s="338" t="str">
        <f>HP_1!A102</f>
        <v xml:space="preserve">Heating Capacity DHW </v>
      </c>
      <c r="B149" s="350">
        <f>HP_1!B102</f>
        <v>7</v>
      </c>
      <c r="C149" s="345" cm="1">
        <f t="array" aca="1" ref="C149" ca="1">INDIRECT($F149&amp;C$90&amp;"!"&amp;$G149)</f>
        <v>7</v>
      </c>
      <c r="D149" s="345" cm="1">
        <f t="array" aca="1" ref="D149" ca="1">INDIRECT($F149&amp;D$90&amp;"!"&amp;$G149)</f>
        <v>7</v>
      </c>
      <c r="E149" s="344">
        <f t="shared" ca="1" si="2"/>
        <v>7</v>
      </c>
      <c r="F149" s="339" t="str">
        <f t="shared" ca="1" si="3"/>
        <v>HP_</v>
      </c>
      <c r="G149" s="339" t="str">
        <f t="shared" ca="1" si="4"/>
        <v>B102</v>
      </c>
      <c r="H149" s="339" t="str">
        <f t="shared" ca="1" si="5"/>
        <v>HP_1!B102</v>
      </c>
    </row>
    <row r="150" spans="1:8">
      <c r="A150" s="338">
        <f>HP_1!A103</f>
        <v>0</v>
      </c>
      <c r="B150" s="350">
        <f>HP_1!B103</f>
        <v>0</v>
      </c>
      <c r="C150" s="345" cm="1">
        <f t="array" aca="1" ref="C150" ca="1">INDIRECT($F150&amp;C$90&amp;"!"&amp;$G150)</f>
        <v>0</v>
      </c>
      <c r="D150" s="345" cm="1">
        <f t="array" aca="1" ref="D150" ca="1">INDIRECT($F150&amp;D$90&amp;"!"&amp;$G150)</f>
        <v>0</v>
      </c>
      <c r="E150" s="344">
        <f t="shared" ca="1" si="2"/>
        <v>0</v>
      </c>
      <c r="F150" s="339" t="str">
        <f t="shared" ca="1" si="3"/>
        <v>HP_</v>
      </c>
      <c r="G150" s="339" t="str">
        <f t="shared" ca="1" si="4"/>
        <v>B103</v>
      </c>
      <c r="H150" s="339" t="str">
        <f t="shared" ca="1" si="5"/>
        <v>HP_1!B103</v>
      </c>
    </row>
    <row r="151" spans="1:8" ht="24">
      <c r="A151" s="338" t="str">
        <f>HP_1!A104</f>
        <v>Results: See DEAP Entries tab for detail on results for use in DEAP</v>
      </c>
      <c r="B151" s="350">
        <f>HP_1!B104</f>
        <v>0</v>
      </c>
      <c r="C151" s="345" cm="1">
        <f t="array" aca="1" ref="C151" ca="1">INDIRECT($F151&amp;C$90&amp;"!"&amp;$G151)</f>
        <v>0</v>
      </c>
      <c r="D151" s="345" cm="1">
        <f t="array" aca="1" ref="D151" ca="1">INDIRECT($F151&amp;D$90&amp;"!"&amp;$G151)</f>
        <v>0</v>
      </c>
      <c r="E151" s="344">
        <f t="shared" ca="1" si="2"/>
        <v>0</v>
      </c>
      <c r="F151" s="339" t="str">
        <f t="shared" ca="1" si="3"/>
        <v>HP_</v>
      </c>
      <c r="G151" s="339" t="str">
        <f t="shared" ca="1" si="4"/>
        <v>B104</v>
      </c>
      <c r="H151" s="339" t="str">
        <f t="shared" ca="1" si="5"/>
        <v>HP_1!B104</v>
      </c>
    </row>
    <row r="152" spans="1:8">
      <c r="A152" s="338" t="str">
        <f>HP_1!A105</f>
        <v>Results</v>
      </c>
      <c r="B152" s="350">
        <f>HP_1!B105</f>
        <v>0</v>
      </c>
      <c r="C152" s="345" cm="1">
        <f t="array" aca="1" ref="C152" ca="1">INDIRECT($F152&amp;C$90&amp;"!"&amp;$G152)</f>
        <v>0</v>
      </c>
      <c r="D152" s="345" cm="1">
        <f t="array" aca="1" ref="D152" ca="1">INDIRECT($F152&amp;D$90&amp;"!"&amp;$G152)</f>
        <v>0</v>
      </c>
      <c r="E152" s="344">
        <f t="shared" ca="1" si="2"/>
        <v>0</v>
      </c>
      <c r="F152" s="339" t="str">
        <f t="shared" ca="1" si="3"/>
        <v>HP_</v>
      </c>
      <c r="G152" s="339" t="str">
        <f t="shared" ca="1" si="4"/>
        <v>B105</v>
      </c>
      <c r="H152" s="339" t="str">
        <f t="shared" ca="1" si="5"/>
        <v>HP_1!B105</v>
      </c>
    </row>
    <row r="153" spans="1:8">
      <c r="A153" s="338" t="str">
        <f>HP_1!A106</f>
        <v>Efficiency of Main Heating System</v>
      </c>
      <c r="B153" s="350" t="e">
        <f>HP_1!B106</f>
        <v>#VALUE!</v>
      </c>
      <c r="C153" s="345" t="e" cm="1">
        <f t="array" aca="1" ref="C153" ca="1">INDIRECT($F153&amp;C$90&amp;"!"&amp;$G153)</f>
        <v>#VALUE!</v>
      </c>
      <c r="D153" s="345" t="e" cm="1">
        <f t="array" aca="1" ref="D153" ca="1">INDIRECT($F153&amp;D$90&amp;"!"&amp;$G153)</f>
        <v>#VALUE!</v>
      </c>
      <c r="E153" s="344" t="e">
        <f t="shared" ca="1" si="2"/>
        <v>#VALUE!</v>
      </c>
      <c r="F153" s="339" t="str">
        <f t="shared" ca="1" si="3"/>
        <v>HP_</v>
      </c>
      <c r="G153" s="339" t="str">
        <f t="shared" ca="1" si="4"/>
        <v>B106</v>
      </c>
      <c r="H153" s="339" t="str">
        <f t="shared" ca="1" si="5"/>
        <v>HP_1!B106</v>
      </c>
    </row>
    <row r="154" spans="1:8">
      <c r="A154" s="338" t="str">
        <f>HP_1!A107</f>
        <v>Efficiency Adjustment Factor - Main Heating</v>
      </c>
      <c r="B154" s="350">
        <f>HP_1!B107</f>
        <v>1</v>
      </c>
      <c r="C154" s="345" cm="1">
        <f t="array" aca="1" ref="C154" ca="1">INDIRECT($F154&amp;C$90&amp;"!"&amp;$G154)</f>
        <v>1</v>
      </c>
      <c r="D154" s="345" cm="1">
        <f t="array" aca="1" ref="D154" ca="1">INDIRECT($F154&amp;D$90&amp;"!"&amp;$G154)</f>
        <v>1</v>
      </c>
      <c r="E154" s="344">
        <f t="shared" ca="1" si="2"/>
        <v>1</v>
      </c>
      <c r="F154" s="339" t="str">
        <f t="shared" ca="1" si="3"/>
        <v>HP_</v>
      </c>
      <c r="G154" s="339" t="str">
        <f t="shared" ca="1" si="4"/>
        <v>B107</v>
      </c>
      <c r="H154" s="339" t="str">
        <f t="shared" ca="1" si="5"/>
        <v>HP_1!B107</v>
      </c>
    </row>
    <row r="155" spans="1:8">
      <c r="A155" s="338" t="str">
        <f>HP_1!A108</f>
        <v>Efficiency of Main Hot Water System</v>
      </c>
      <c r="B155" s="350" t="e">
        <f>HP_1!B108</f>
        <v>#VALUE!</v>
      </c>
      <c r="C155" s="345" t="e" cm="1">
        <f t="array" aca="1" ref="C155" ca="1">INDIRECT($F155&amp;C$90&amp;"!"&amp;$G155)</f>
        <v>#DIV/0!</v>
      </c>
      <c r="D155" s="345" t="e" cm="1">
        <f t="array" aca="1" ref="D155" ca="1">INDIRECT($F155&amp;D$90&amp;"!"&amp;$G155)</f>
        <v>#DIV/0!</v>
      </c>
      <c r="E155" s="344" t="e">
        <f t="shared" ca="1" si="2"/>
        <v>#DIV/0!</v>
      </c>
      <c r="F155" s="339" t="str">
        <f t="shared" ca="1" si="3"/>
        <v>HP_</v>
      </c>
      <c r="G155" s="339" t="str">
        <f t="shared" ca="1" si="4"/>
        <v>B108</v>
      </c>
      <c r="H155" s="339" t="str">
        <f t="shared" ca="1" si="5"/>
        <v>HP_1!B108</v>
      </c>
    </row>
    <row r="156" spans="1:8" ht="24">
      <c r="A156" s="338" t="str">
        <f>HP_1!A109</f>
        <v>Efficiency Adjustment Factor - Main Hot Water</v>
      </c>
      <c r="B156" s="350">
        <f>HP_1!B109</f>
        <v>1</v>
      </c>
      <c r="C156" s="345" cm="1">
        <f t="array" aca="1" ref="C156" ca="1">INDIRECT($F156&amp;C$90&amp;"!"&amp;$G156)</f>
        <v>1</v>
      </c>
      <c r="D156" s="345" cm="1">
        <f t="array" aca="1" ref="D156" ca="1">INDIRECT($F156&amp;D$90&amp;"!"&amp;$G156)</f>
        <v>1</v>
      </c>
      <c r="E156" s="344">
        <f t="shared" ca="1" si="2"/>
        <v>1</v>
      </c>
      <c r="F156" s="339" t="str">
        <f t="shared" ca="1" si="3"/>
        <v>HP_</v>
      </c>
      <c r="G156" s="339" t="str">
        <f t="shared" ca="1" si="4"/>
        <v>B109</v>
      </c>
      <c r="H156" s="339" t="str">
        <f t="shared" ca="1" si="5"/>
        <v>HP_1!B109</v>
      </c>
    </row>
    <row r="157" spans="1:8">
      <c r="A157" s="338">
        <f>HP_1!A110</f>
        <v>0</v>
      </c>
      <c r="B157" s="350">
        <f>HP_1!B110</f>
        <v>0</v>
      </c>
      <c r="C157" s="345" cm="1">
        <f t="array" aca="1" ref="C157" ca="1">INDIRECT($F157&amp;C$90&amp;"!"&amp;$G157)</f>
        <v>0</v>
      </c>
      <c r="D157" s="345" cm="1">
        <f t="array" aca="1" ref="D157" ca="1">INDIRECT($F157&amp;D$90&amp;"!"&amp;$G157)</f>
        <v>0</v>
      </c>
      <c r="E157" s="344">
        <f t="shared" ref="E157:E185" ca="1" si="6">VLOOKUP(A157,A157:D157,$K$1+1,FALSE)</f>
        <v>0</v>
      </c>
      <c r="F157" s="339" t="str">
        <f t="shared" ref="F157:F185" ca="1" si="7">LEFT(H157,FIND("1",H157)-1)</f>
        <v>HP_</v>
      </c>
      <c r="G157" s="339" t="str">
        <f t="shared" ref="G157:G185" ca="1" si="8">RIGHT(H157,LEN(H157)-FIND("!",H157))</f>
        <v>B110</v>
      </c>
      <c r="H157" s="339" t="str">
        <f t="shared" ref="H157:H185" ca="1" si="9">SUBSTITUTE( _xlfn.FORMULATEXT(B157),"=","")</f>
        <v>HP_1!B110</v>
      </c>
    </row>
    <row r="158" spans="1:8" ht="24">
      <c r="A158" s="338" t="str">
        <f>HP_1!A111</f>
        <v>% Renewable Contribution from Exhaust Heat Pump for Space Heating</v>
      </c>
      <c r="B158" s="350">
        <f>HP_1!B111</f>
        <v>1</v>
      </c>
      <c r="C158" s="345" cm="1">
        <f t="array" aca="1" ref="C158" ca="1">INDIRECT($F158&amp;C$90&amp;"!"&amp;$G158)</f>
        <v>1</v>
      </c>
      <c r="D158" s="345" cm="1">
        <f t="array" aca="1" ref="D158" ca="1">INDIRECT($F158&amp;D$90&amp;"!"&amp;$G158)</f>
        <v>1</v>
      </c>
      <c r="E158" s="344">
        <f t="shared" ca="1" si="6"/>
        <v>1</v>
      </c>
      <c r="F158" s="339" t="str">
        <f t="shared" ca="1" si="7"/>
        <v>HP_</v>
      </c>
      <c r="G158" s="339" t="str">
        <f t="shared" ca="1" si="8"/>
        <v>B111</v>
      </c>
      <c r="H158" s="339" t="str">
        <f t="shared" ca="1" si="9"/>
        <v>HP_1!B111</v>
      </c>
    </row>
    <row r="159" spans="1:8" ht="24">
      <c r="A159" s="338" t="str">
        <f>HP_1!A112</f>
        <v>% Renewable Contribution from Exhaust Heat Pump for Water Heating</v>
      </c>
      <c r="B159" s="350">
        <f>HP_1!B112</f>
        <v>1</v>
      </c>
      <c r="C159" s="345" cm="1">
        <f t="array" aca="1" ref="C159" ca="1">INDIRECT($F159&amp;C$90&amp;"!"&amp;$G159)</f>
        <v>1</v>
      </c>
      <c r="D159" s="345" cm="1">
        <f t="array" aca="1" ref="D159" ca="1">INDIRECT($F159&amp;D$90&amp;"!"&amp;$G159)</f>
        <v>1</v>
      </c>
      <c r="E159" s="344">
        <f t="shared" ca="1" si="6"/>
        <v>1</v>
      </c>
      <c r="F159" s="339" t="str">
        <f t="shared" ca="1" si="7"/>
        <v>HP_</v>
      </c>
      <c r="G159" s="339" t="str">
        <f t="shared" ca="1" si="8"/>
        <v>B112</v>
      </c>
      <c r="H159" s="339" t="str">
        <f t="shared" ca="1" si="9"/>
        <v>HP_1!B112</v>
      </c>
    </row>
    <row r="160" spans="1:8">
      <c r="A160" s="338">
        <f>HP_1!A113</f>
        <v>0</v>
      </c>
      <c r="B160" s="350">
        <f>HP_1!B113</f>
        <v>0</v>
      </c>
      <c r="C160" s="345" cm="1">
        <f t="array" aca="1" ref="C160" ca="1">INDIRECT($F160&amp;C$90&amp;"!"&amp;$G160)</f>
        <v>0</v>
      </c>
      <c r="D160" s="345" cm="1">
        <f t="array" aca="1" ref="D160" ca="1">INDIRECT($F160&amp;D$90&amp;"!"&amp;$G160)</f>
        <v>0</v>
      </c>
      <c r="E160" s="344">
        <f t="shared" ca="1" si="6"/>
        <v>0</v>
      </c>
      <c r="F160" s="339" t="str">
        <f t="shared" ca="1" si="7"/>
        <v>HP_</v>
      </c>
      <c r="G160" s="339" t="str">
        <f t="shared" ca="1" si="8"/>
        <v>B113</v>
      </c>
      <c r="H160" s="339" t="str">
        <f t="shared" ca="1" si="9"/>
        <v>HP_1!B113</v>
      </c>
    </row>
    <row r="161" spans="1:8">
      <c r="A161" s="338">
        <f>HP_1!A114</f>
        <v>0</v>
      </c>
      <c r="B161" s="350">
        <f>HP_1!B114</f>
        <v>0</v>
      </c>
      <c r="C161" s="345" cm="1">
        <f t="array" aca="1" ref="C161" ca="1">INDIRECT($F161&amp;C$90&amp;"!"&amp;$G161)</f>
        <v>0</v>
      </c>
      <c r="D161" s="345" cm="1">
        <f t="array" aca="1" ref="D161" ca="1">INDIRECT($F161&amp;D$90&amp;"!"&amp;$G161)</f>
        <v>0</v>
      </c>
      <c r="E161" s="344">
        <f t="shared" ca="1" si="6"/>
        <v>0</v>
      </c>
      <c r="F161" s="339" t="str">
        <f t="shared" ca="1" si="7"/>
        <v>HP_</v>
      </c>
      <c r="G161" s="339" t="str">
        <f t="shared" ca="1" si="8"/>
        <v>B114</v>
      </c>
      <c r="H161" s="339" t="str">
        <f t="shared" ca="1" si="9"/>
        <v>HP_1!B114</v>
      </c>
    </row>
    <row r="162" spans="1:8">
      <c r="A162" s="338" t="str">
        <f>HP_1!A115</f>
        <v>% of space heating Provided by Heat Pump</v>
      </c>
      <c r="B162" s="350" t="e">
        <f>HP_1!B115</f>
        <v>#VALUE!</v>
      </c>
      <c r="C162" s="345" t="e" cm="1">
        <f t="array" aca="1" ref="C162" ca="1">INDIRECT($F162&amp;C$90&amp;"!"&amp;$G162)</f>
        <v>#VALUE!</v>
      </c>
      <c r="D162" s="345" t="e" cm="1">
        <f t="array" aca="1" ref="D162" ca="1">INDIRECT($F162&amp;D$90&amp;"!"&amp;$G162)</f>
        <v>#VALUE!</v>
      </c>
      <c r="E162" s="344" t="e">
        <f t="shared" ca="1" si="6"/>
        <v>#VALUE!</v>
      </c>
      <c r="F162" s="339" t="str">
        <f t="shared" ca="1" si="7"/>
        <v>HP_</v>
      </c>
      <c r="G162" s="339" t="str">
        <f t="shared" ca="1" si="8"/>
        <v>B115</v>
      </c>
      <c r="H162" s="339" t="str">
        <f t="shared" ca="1" si="9"/>
        <v>HP_1!B115</v>
      </c>
    </row>
    <row r="163" spans="1:8">
      <c r="A163" s="338" t="str">
        <f>HP_1!A116</f>
        <v>% of Hot Water Provided by Heat Pump</v>
      </c>
      <c r="B163" s="350" t="e">
        <f>HP_1!B116</f>
        <v>#VALUE!</v>
      </c>
      <c r="C163" s="345" cm="1">
        <f t="array" aca="1" ref="C163" ca="1">INDIRECT($F163&amp;C$90&amp;"!"&amp;$G163)</f>
        <v>-0.18181818181818188</v>
      </c>
      <c r="D163" s="345" cm="1">
        <f t="array" aca="1" ref="D163" ca="1">INDIRECT($F163&amp;D$90&amp;"!"&amp;$G163)</f>
        <v>-0.18181818181818188</v>
      </c>
      <c r="E163" s="344">
        <f t="shared" ca="1" si="6"/>
        <v>-0.18181818181818188</v>
      </c>
      <c r="F163" s="339" t="str">
        <f t="shared" ca="1" si="7"/>
        <v>HP_</v>
      </c>
      <c r="G163" s="339" t="str">
        <f t="shared" ca="1" si="8"/>
        <v>B116</v>
      </c>
      <c r="H163" s="339" t="str">
        <f t="shared" ca="1" si="9"/>
        <v>HP_1!B116</v>
      </c>
    </row>
    <row r="164" spans="1:8">
      <c r="A164" s="338">
        <f>HP_1!A117</f>
        <v>0</v>
      </c>
      <c r="B164" s="350">
        <f>HP_1!B117</f>
        <v>0</v>
      </c>
      <c r="C164" s="345" cm="1">
        <f t="array" aca="1" ref="C164" ca="1">INDIRECT($F164&amp;C$90&amp;"!"&amp;$G164)</f>
        <v>0</v>
      </c>
      <c r="D164" s="345" cm="1">
        <f t="array" aca="1" ref="D164" ca="1">INDIRECT($F164&amp;D$90&amp;"!"&amp;$G164)</f>
        <v>0</v>
      </c>
      <c r="E164" s="344">
        <f t="shared" ca="1" si="6"/>
        <v>0</v>
      </c>
      <c r="F164" s="339" t="str">
        <f t="shared" ca="1" si="7"/>
        <v>HP_</v>
      </c>
      <c r="G164" s="339" t="str">
        <f t="shared" ca="1" si="8"/>
        <v>B117</v>
      </c>
      <c r="H164" s="339" t="str">
        <f t="shared" ca="1" si="9"/>
        <v>HP_1!B117</v>
      </c>
    </row>
    <row r="165" spans="1:8" ht="24">
      <c r="A165" s="338" t="str">
        <f>HP_1!A118</f>
        <v>Calculated environmental energy in this dwelling</v>
      </c>
      <c r="B165" s="350">
        <f>HP_1!B118</f>
        <v>0</v>
      </c>
      <c r="C165" s="345" cm="1">
        <f t="array" aca="1" ref="C165" ca="1">INDIRECT($F165&amp;C$90&amp;"!"&amp;$G165)</f>
        <v>0</v>
      </c>
      <c r="D165" s="345" cm="1">
        <f t="array" aca="1" ref="D165" ca="1">INDIRECT($F165&amp;D$90&amp;"!"&amp;$G165)</f>
        <v>0</v>
      </c>
      <c r="E165" s="344">
        <f t="shared" ca="1" si="6"/>
        <v>0</v>
      </c>
      <c r="F165" s="339" t="str">
        <f t="shared" ca="1" si="7"/>
        <v>HP_</v>
      </c>
      <c r="G165" s="339" t="str">
        <f t="shared" ca="1" si="8"/>
        <v>B118</v>
      </c>
      <c r="H165" s="339" t="str">
        <f t="shared" ca="1" si="9"/>
        <v>HP_1!B118</v>
      </c>
    </row>
    <row r="166" spans="1:8">
      <c r="A166" s="338">
        <f>HP_1!A119</f>
        <v>0</v>
      </c>
      <c r="B166" s="350">
        <f>HP_1!B119</f>
        <v>0</v>
      </c>
      <c r="C166" s="345" cm="1">
        <f t="array" aca="1" ref="C166" ca="1">INDIRECT($F166&amp;C$90&amp;"!"&amp;$G166)</f>
        <v>0</v>
      </c>
      <c r="D166" s="345" cm="1">
        <f t="array" aca="1" ref="D166" ca="1">INDIRECT($F166&amp;D$90&amp;"!"&amp;$G166)</f>
        <v>0</v>
      </c>
      <c r="E166" s="344">
        <f t="shared" ca="1" si="6"/>
        <v>0</v>
      </c>
      <c r="F166" s="339" t="str">
        <f t="shared" ca="1" si="7"/>
        <v>HP_</v>
      </c>
      <c r="G166" s="339" t="str">
        <f t="shared" ca="1" si="8"/>
        <v>B119</v>
      </c>
      <c r="H166" s="339" t="str">
        <f t="shared" ca="1" si="9"/>
        <v>HP_1!B119</v>
      </c>
    </row>
    <row r="167" spans="1:8" ht="36">
      <c r="A167" s="338" t="str">
        <f>HP_1!A120</f>
        <v>Heat pump standalone without backup (not accounting for Exhaust adjustment)</v>
      </c>
      <c r="B167" s="350" t="str">
        <f>HP_1!B120</f>
        <v>Heat Pump Efficiency</v>
      </c>
      <c r="C167" s="345" t="str" cm="1">
        <f t="array" aca="1" ref="C167" ca="1">INDIRECT($F167&amp;C$90&amp;"!"&amp;$G167)</f>
        <v>Heat Pump Efficiency</v>
      </c>
      <c r="D167" s="345" t="str" cm="1">
        <f t="array" aca="1" ref="D167" ca="1">INDIRECT($F167&amp;D$90&amp;"!"&amp;$G167)</f>
        <v>Heat Pump Efficiency</v>
      </c>
      <c r="E167" s="344" t="str">
        <f t="shared" ca="1" si="6"/>
        <v>Heat Pump Efficiency</v>
      </c>
      <c r="F167" s="339" t="str">
        <f t="shared" ca="1" si="7"/>
        <v>HP_</v>
      </c>
      <c r="G167" s="339" t="str">
        <f t="shared" ca="1" si="8"/>
        <v>B120</v>
      </c>
      <c r="H167" s="339" t="str">
        <f t="shared" ca="1" si="9"/>
        <v>HP_1!B120</v>
      </c>
    </row>
    <row r="168" spans="1:8">
      <c r="A168" s="338" t="str">
        <f>HP_1!A121</f>
        <v>Space heating</v>
      </c>
      <c r="B168" s="350" t="e">
        <f>HP_1!B121</f>
        <v>#VALUE!</v>
      </c>
      <c r="C168" s="345" t="e" cm="1">
        <f t="array" aca="1" ref="C168" ca="1">INDIRECT($F168&amp;C$90&amp;"!"&amp;$G168)</f>
        <v>#VALUE!</v>
      </c>
      <c r="D168" s="345" t="e" cm="1">
        <f t="array" aca="1" ref="D168" ca="1">INDIRECT($F168&amp;D$90&amp;"!"&amp;$G168)</f>
        <v>#VALUE!</v>
      </c>
      <c r="E168" s="344" t="e">
        <f t="shared" ca="1" si="6"/>
        <v>#VALUE!</v>
      </c>
      <c r="F168" s="339" t="str">
        <f t="shared" ca="1" si="7"/>
        <v>HP_</v>
      </c>
      <c r="G168" s="339" t="str">
        <f t="shared" ca="1" si="8"/>
        <v>B121</v>
      </c>
      <c r="H168" s="339" t="str">
        <f t="shared" ca="1" si="9"/>
        <v>HP_1!B121</v>
      </c>
    </row>
    <row r="169" spans="1:8">
      <c r="A169" s="338" t="str">
        <f>HP_1!A122</f>
        <v>Water heating</v>
      </c>
      <c r="B169" s="350">
        <f>HP_1!B122</f>
        <v>0</v>
      </c>
      <c r="C169" s="345" cm="1">
        <f t="array" aca="1" ref="C169" ca="1">INDIRECT($F169&amp;C$90&amp;"!"&amp;$G169)</f>
        <v>0</v>
      </c>
      <c r="D169" s="345" cm="1">
        <f t="array" aca="1" ref="D169" ca="1">INDIRECT($F169&amp;D$90&amp;"!"&amp;$G169)</f>
        <v>0</v>
      </c>
      <c r="E169" s="344">
        <f t="shared" ca="1" si="6"/>
        <v>0</v>
      </c>
      <c r="F169" s="339" t="str">
        <f t="shared" ca="1" si="7"/>
        <v>HP_</v>
      </c>
      <c r="G169" s="339" t="str">
        <f t="shared" ca="1" si="8"/>
        <v>B122</v>
      </c>
      <c r="H169" s="339" t="str">
        <f t="shared" ca="1" si="9"/>
        <v>HP_1!B122</v>
      </c>
    </row>
    <row r="170" spans="1:8" ht="36">
      <c r="A170" s="338" t="str">
        <f>HP_1!A123</f>
        <v>Heat pump with backup (not accounting for Exhaust adjustment)</v>
      </c>
      <c r="B170" s="350" t="str">
        <f>HP_1!B123</f>
        <v>Heat Pump Efficiency</v>
      </c>
      <c r="C170" s="345" t="str" cm="1">
        <f t="array" aca="1" ref="C170" ca="1">INDIRECT($F170&amp;C$90&amp;"!"&amp;$G170)</f>
        <v>Heat Pump Efficiency</v>
      </c>
      <c r="D170" s="345" t="str" cm="1">
        <f t="array" aca="1" ref="D170" ca="1">INDIRECT($F170&amp;D$90&amp;"!"&amp;$G170)</f>
        <v>Heat Pump Efficiency</v>
      </c>
      <c r="E170" s="344" t="str">
        <f t="shared" ca="1" si="6"/>
        <v>Heat Pump Efficiency</v>
      </c>
      <c r="F170" s="339" t="str">
        <f t="shared" ca="1" si="7"/>
        <v>HP_</v>
      </c>
      <c r="G170" s="339" t="str">
        <f t="shared" ca="1" si="8"/>
        <v>B123</v>
      </c>
      <c r="H170" s="339" t="str">
        <f t="shared" ca="1" si="9"/>
        <v>HP_1!B123</v>
      </c>
    </row>
    <row r="171" spans="1:8">
      <c r="A171" s="338" t="str">
        <f>HP_1!A124</f>
        <v>Space heating</v>
      </c>
      <c r="B171" s="350" t="e">
        <f>HP_1!B124</f>
        <v>#VALUE!</v>
      </c>
      <c r="C171" s="345" t="e" cm="1">
        <f t="array" aca="1" ref="C171" ca="1">INDIRECT($F171&amp;C$90&amp;"!"&amp;$G171)</f>
        <v>#VALUE!</v>
      </c>
      <c r="D171" s="345" t="e" cm="1">
        <f t="array" aca="1" ref="D171" ca="1">INDIRECT($F171&amp;D$90&amp;"!"&amp;$G171)</f>
        <v>#VALUE!</v>
      </c>
      <c r="E171" s="344" t="e">
        <f t="shared" ca="1" si="6"/>
        <v>#VALUE!</v>
      </c>
      <c r="F171" s="339" t="str">
        <f t="shared" ca="1" si="7"/>
        <v>HP_</v>
      </c>
      <c r="G171" s="339" t="str">
        <f t="shared" ca="1" si="8"/>
        <v>B124</v>
      </c>
      <c r="H171" s="339" t="str">
        <f t="shared" ca="1" si="9"/>
        <v>HP_1!B124</v>
      </c>
    </row>
    <row r="172" spans="1:8">
      <c r="A172" s="338" t="str">
        <f>HP_1!A125</f>
        <v>Water heating</v>
      </c>
      <c r="B172" s="350" t="e">
        <f>HP_1!B125</f>
        <v>#VALUE!</v>
      </c>
      <c r="C172" s="345" t="e" cm="1">
        <f t="array" aca="1" ref="C172" ca="1">INDIRECT($F172&amp;C$90&amp;"!"&amp;$G172)</f>
        <v>#DIV/0!</v>
      </c>
      <c r="D172" s="345" t="e" cm="1">
        <f t="array" aca="1" ref="D172" ca="1">INDIRECT($F172&amp;D$90&amp;"!"&amp;$G172)</f>
        <v>#DIV/0!</v>
      </c>
      <c r="E172" s="344" t="e">
        <f t="shared" ca="1" si="6"/>
        <v>#DIV/0!</v>
      </c>
      <c r="F172" s="339" t="str">
        <f t="shared" ca="1" si="7"/>
        <v>HP_</v>
      </c>
      <c r="G172" s="339" t="str">
        <f t="shared" ca="1" si="8"/>
        <v>B125</v>
      </c>
      <c r="H172" s="339" t="str">
        <f t="shared" ca="1" si="9"/>
        <v>HP_1!B125</v>
      </c>
    </row>
    <row r="173" spans="1:8" ht="36">
      <c r="A173" s="338" t="str">
        <f>HP_1!A126</f>
        <v>Additional renewable contribution when discounting backup</v>
      </c>
      <c r="B173" s="350" t="str">
        <f>HP_1!B126</f>
        <v>Adjustment due to backup</v>
      </c>
      <c r="C173" s="345" t="str" cm="1">
        <f t="array" aca="1" ref="C173" ca="1">INDIRECT($F173&amp;C$90&amp;"!"&amp;$G173)</f>
        <v>Adjustment due to backup</v>
      </c>
      <c r="D173" s="345" t="str" cm="1">
        <f t="array" aca="1" ref="D173" ca="1">INDIRECT($F173&amp;D$90&amp;"!"&amp;$G173)</f>
        <v>Adjustment due to backup</v>
      </c>
      <c r="E173" s="344" t="str">
        <f t="shared" ca="1" si="6"/>
        <v>Adjustment due to backup</v>
      </c>
      <c r="F173" s="339" t="str">
        <f t="shared" ca="1" si="7"/>
        <v>HP_</v>
      </c>
      <c r="G173" s="339" t="str">
        <f t="shared" ca="1" si="8"/>
        <v>B126</v>
      </c>
      <c r="H173" s="339" t="str">
        <f t="shared" ca="1" si="9"/>
        <v>HP_1!B126</v>
      </c>
    </row>
    <row r="174" spans="1:8">
      <c r="A174" s="338" t="str">
        <f>HP_1!A127</f>
        <v>Space heating</v>
      </c>
      <c r="B174" s="350" t="e">
        <f>HP_1!B127</f>
        <v>#VALUE!</v>
      </c>
      <c r="C174" s="345" t="e" cm="1">
        <f t="array" aca="1" ref="C174" ca="1">INDIRECT($F174&amp;C$90&amp;"!"&amp;$G174)</f>
        <v>#VALUE!</v>
      </c>
      <c r="D174" s="345" t="e" cm="1">
        <f t="array" aca="1" ref="D174" ca="1">INDIRECT($F174&amp;D$90&amp;"!"&amp;$G174)</f>
        <v>#VALUE!</v>
      </c>
      <c r="E174" s="344" t="e">
        <f t="shared" ca="1" si="6"/>
        <v>#VALUE!</v>
      </c>
      <c r="F174" s="339" t="str">
        <f t="shared" ca="1" si="7"/>
        <v>HP_</v>
      </c>
      <c r="G174" s="339" t="str">
        <f t="shared" ca="1" si="8"/>
        <v>B127</v>
      </c>
      <c r="H174" s="339" t="str">
        <f t="shared" ca="1" si="9"/>
        <v>HP_1!B127</v>
      </c>
    </row>
    <row r="175" spans="1:8">
      <c r="A175" s="338" t="str">
        <f>HP_1!A128</f>
        <v>Water heating</v>
      </c>
      <c r="B175" s="350" t="e">
        <f>HP_1!B128</f>
        <v>#VALUE!</v>
      </c>
      <c r="C175" s="345" t="e" cm="1">
        <f t="array" aca="1" ref="C175" ca="1">INDIRECT($F175&amp;C$90&amp;"!"&amp;$G175)</f>
        <v>#DIV/0!</v>
      </c>
      <c r="D175" s="345" t="e" cm="1">
        <f t="array" aca="1" ref="D175" ca="1">INDIRECT($F175&amp;D$90&amp;"!"&amp;$G175)</f>
        <v>#DIV/0!</v>
      </c>
      <c r="E175" s="344" t="e">
        <f t="shared" ca="1" si="6"/>
        <v>#DIV/0!</v>
      </c>
      <c r="F175" s="339" t="str">
        <f t="shared" ca="1" si="7"/>
        <v>HP_</v>
      </c>
      <c r="G175" s="339" t="str">
        <f t="shared" ca="1" si="8"/>
        <v>B128</v>
      </c>
      <c r="H175" s="339" t="str">
        <f t="shared" ca="1" si="9"/>
        <v>HP_1!B128</v>
      </c>
    </row>
    <row r="176" spans="1:8">
      <c r="A176" s="338" t="str">
        <f>HP_1!G111</f>
        <v>Exhaust Air Flow Rate (m3/hr)</v>
      </c>
      <c r="B176" s="350">
        <f>HP_1!G112</f>
        <v>0</v>
      </c>
      <c r="C176" s="345" cm="1">
        <f t="array" aca="1" ref="C176" ca="1">INDIRECT($F176&amp;C$90&amp;"!"&amp;$G176)</f>
        <v>0</v>
      </c>
      <c r="D176" s="345" cm="1">
        <f t="array" aca="1" ref="D176" ca="1">INDIRECT($F176&amp;D$90&amp;"!"&amp;$G176)</f>
        <v>0</v>
      </c>
      <c r="E176" s="344">
        <f t="shared" ca="1" si="6"/>
        <v>0</v>
      </c>
      <c r="F176" s="339" t="str">
        <f t="shared" ca="1" si="7"/>
        <v>HP_</v>
      </c>
      <c r="G176" s="339" t="str">
        <f t="shared" ca="1" si="8"/>
        <v>G112</v>
      </c>
      <c r="H176" s="339" t="str">
        <f t="shared" ca="1" si="9"/>
        <v>HP_1!G112</v>
      </c>
    </row>
    <row r="177" spans="1:8">
      <c r="A177" s="338" t="str">
        <f>HP_1!A187</f>
        <v>DEAP Entries Captured Data</v>
      </c>
      <c r="B177" s="350">
        <f>HP_1!B187</f>
        <v>0</v>
      </c>
      <c r="C177" s="345" cm="1">
        <f t="array" aca="1" ref="C177" ca="1">INDIRECT($F177&amp;C$90&amp;"!"&amp;$G177)</f>
        <v>0</v>
      </c>
      <c r="D177" s="345" cm="1">
        <f t="array" aca="1" ref="D177" ca="1">INDIRECT($F177&amp;D$90&amp;"!"&amp;$G177)</f>
        <v>0</v>
      </c>
      <c r="E177" s="344">
        <f t="shared" ca="1" si="6"/>
        <v>0</v>
      </c>
      <c r="F177" s="339" t="str">
        <f t="shared" ca="1" si="7"/>
        <v>HP_</v>
      </c>
      <c r="G177" s="339" t="str">
        <f t="shared" ca="1" si="8"/>
        <v>B187</v>
      </c>
      <c r="H177" s="339" t="str">
        <f t="shared" ca="1" si="9"/>
        <v>HP_1!B187</v>
      </c>
    </row>
    <row r="178" spans="1:8" ht="24">
      <c r="A178" s="338" t="str">
        <f>HP_1!A188</f>
        <v>Description:</v>
      </c>
      <c r="B178" s="350" t="str">
        <f>HP_1!B188</f>
        <v>Heat pump # 1</v>
      </c>
      <c r="C178" s="345" t="str" cm="1">
        <f t="array" aca="1" ref="C178" ca="1">INDIRECT($F178&amp;C$90&amp;"!"&amp;$G178)</f>
        <v>Heat pump # 1</v>
      </c>
      <c r="D178" s="345" t="str" cm="1">
        <f t="array" aca="1" ref="D178" ca="1">INDIRECT($F178&amp;D$90&amp;"!"&amp;$G178)</f>
        <v>Heat pump # 1</v>
      </c>
      <c r="E178" s="344" t="str">
        <f t="shared" ca="1" si="6"/>
        <v>Heat pump # 1</v>
      </c>
      <c r="F178" s="339" t="str">
        <f t="shared" ca="1" si="7"/>
        <v>HP_</v>
      </c>
      <c r="G178" s="339" t="str">
        <f t="shared" ca="1" si="8"/>
        <v>B188</v>
      </c>
      <c r="H178" s="339" t="str">
        <f t="shared" ca="1" si="9"/>
        <v>HP_1!B188</v>
      </c>
    </row>
    <row r="179" spans="1:8" ht="24">
      <c r="A179" s="338" t="str">
        <f>HP_1!A189</f>
        <v>Type of space heating heat pump</v>
      </c>
      <c r="B179" s="350" t="str">
        <f>HP_1!B189</f>
        <v>Heat Pump</v>
      </c>
      <c r="C179" s="345" t="str" cm="1">
        <f t="array" aca="1" ref="C179" ca="1">INDIRECT($F179&amp;C$90&amp;"!"&amp;$G179)</f>
        <v>Heat Pump</v>
      </c>
      <c r="D179" s="345" t="str" cm="1">
        <f t="array" aca="1" ref="D179" ca="1">INDIRECT($F179&amp;D$90&amp;"!"&amp;$G179)</f>
        <v>Heat Pump</v>
      </c>
      <c r="E179" s="344" t="str">
        <f t="shared" ca="1" si="6"/>
        <v>Heat Pump</v>
      </c>
      <c r="F179" s="339" t="str">
        <f t="shared" ca="1" si="7"/>
        <v>HP_</v>
      </c>
      <c r="G179" s="339" t="str">
        <f t="shared" ca="1" si="8"/>
        <v>B189</v>
      </c>
      <c r="H179" s="339" t="str">
        <f t="shared" ca="1" si="9"/>
        <v>HP_1!B189</v>
      </c>
    </row>
    <row r="180" spans="1:8" ht="24">
      <c r="A180" s="338" t="str">
        <f>HP_1!A190</f>
        <v>Type of water heating heat pump</v>
      </c>
      <c r="B180" s="350" t="str">
        <f>HP_1!B190</f>
        <v>Heat Pump</v>
      </c>
      <c r="C180" s="345" t="str" cm="1">
        <f t="array" aca="1" ref="C180" ca="1">INDIRECT($F180&amp;C$90&amp;"!"&amp;$G180)</f>
        <v>Heat Pump</v>
      </c>
      <c r="D180" s="345" t="str" cm="1">
        <f t="array" aca="1" ref="D180" ca="1">INDIRECT($F180&amp;D$90&amp;"!"&amp;$G180)</f>
        <v>Heat Pump</v>
      </c>
      <c r="E180" s="344" t="str">
        <f t="shared" ca="1" si="6"/>
        <v>Heat Pump</v>
      </c>
      <c r="F180" s="339" t="str">
        <f t="shared" ca="1" si="7"/>
        <v>HP_</v>
      </c>
      <c r="G180" s="339" t="str">
        <f t="shared" ca="1" si="8"/>
        <v>B190</v>
      </c>
      <c r="H180" s="339" t="str">
        <f t="shared" ca="1" si="9"/>
        <v>HP_1!B190</v>
      </c>
    </row>
    <row r="181" spans="1:8" ht="24">
      <c r="A181" s="338" t="str">
        <f>HP_1!A191</f>
        <v xml:space="preserve">% main space heat provided by each heat pump  based on system design </v>
      </c>
      <c r="B181" s="350">
        <f>HP_1!B191</f>
        <v>0</v>
      </c>
      <c r="C181" s="345" cm="1">
        <f t="array" aca="1" ref="C181" ca="1">INDIRECT($F181&amp;C$90&amp;"!"&amp;$G181)</f>
        <v>0</v>
      </c>
      <c r="D181" s="345" cm="1">
        <f t="array" aca="1" ref="D181" ca="1">INDIRECT($F181&amp;D$90&amp;"!"&amp;$G181)</f>
        <v>0</v>
      </c>
      <c r="E181" s="344">
        <f t="shared" ca="1" si="6"/>
        <v>0</v>
      </c>
      <c r="F181" s="339" t="str">
        <f t="shared" ca="1" si="7"/>
        <v>HP_</v>
      </c>
      <c r="G181" s="339" t="str">
        <f t="shared" ca="1" si="8"/>
        <v>B191</v>
      </c>
      <c r="H181" s="339" t="str">
        <f t="shared" ca="1" si="9"/>
        <v>HP_1!B191</v>
      </c>
    </row>
    <row r="182" spans="1:8" ht="24">
      <c r="A182" s="338" t="str">
        <f>HP_1!A192</f>
        <v xml:space="preserve">% main water heat provided by each heat pump  based on system design </v>
      </c>
      <c r="B182" s="350">
        <f>HP_1!B192</f>
        <v>0</v>
      </c>
      <c r="C182" s="345" cm="1">
        <f t="array" aca="1" ref="C182" ca="1">INDIRECT($F182&amp;C$90&amp;"!"&amp;$G182)</f>
        <v>0</v>
      </c>
      <c r="D182" s="345" cm="1">
        <f t="array" aca="1" ref="D182" ca="1">INDIRECT($F182&amp;D$90&amp;"!"&amp;$G182)</f>
        <v>0</v>
      </c>
      <c r="E182" s="344">
        <f t="shared" ca="1" si="6"/>
        <v>0</v>
      </c>
      <c r="F182" s="339" t="str">
        <f t="shared" ca="1" si="7"/>
        <v>HP_</v>
      </c>
      <c r="G182" s="339" t="str">
        <f t="shared" ca="1" si="8"/>
        <v>B192</v>
      </c>
      <c r="H182" s="339" t="str">
        <f t="shared" ca="1" si="9"/>
        <v>HP_1!B192</v>
      </c>
    </row>
    <row r="183" spans="1:8">
      <c r="A183" s="338" t="str">
        <f>HP_1!A193</f>
        <v>Is heat pump source preconditioned?</v>
      </c>
      <c r="B183" s="350" t="str">
        <f>HP_1!B193</f>
        <v>No</v>
      </c>
      <c r="C183" s="345" t="str" cm="1">
        <f t="array" aca="1" ref="C183" ca="1">INDIRECT($F183&amp;C$90&amp;"!"&amp;$G183)</f>
        <v>No</v>
      </c>
      <c r="D183" s="345" t="str" cm="1">
        <f t="array" aca="1" ref="D183" ca="1">INDIRECT($F183&amp;D$90&amp;"!"&amp;$G183)</f>
        <v>No</v>
      </c>
      <c r="E183" s="344" t="str">
        <f t="shared" ca="1" si="6"/>
        <v>No</v>
      </c>
      <c r="F183" s="339" t="str">
        <f t="shared" ca="1" si="7"/>
        <v>HP_</v>
      </c>
      <c r="G183" s="339" t="str">
        <f t="shared" ca="1" si="8"/>
        <v>B193</v>
      </c>
      <c r="H183" s="339" t="str">
        <f t="shared" ca="1" si="9"/>
        <v>HP_1!B193</v>
      </c>
    </row>
    <row r="184" spans="1:8" ht="24">
      <c r="A184" s="338" t="str">
        <f>HP_1!A194</f>
        <v>Is the Heat Pump part of a Group Heating Scheme</v>
      </c>
      <c r="B184" s="350" t="str">
        <f>HP_1!B194</f>
        <v>No</v>
      </c>
      <c r="C184" s="345" t="str" cm="1">
        <f t="array" aca="1" ref="C184" ca="1">INDIRECT($F184&amp;C$90&amp;"!"&amp;$G184)</f>
        <v>No</v>
      </c>
      <c r="D184" s="345" t="str" cm="1">
        <f t="array" aca="1" ref="D184" ca="1">INDIRECT($F184&amp;D$90&amp;"!"&amp;$G184)</f>
        <v>No</v>
      </c>
      <c r="E184" s="344" t="str">
        <f t="shared" ca="1" si="6"/>
        <v>No</v>
      </c>
      <c r="F184" s="339" t="str">
        <f t="shared" ca="1" si="7"/>
        <v>HP_</v>
      </c>
      <c r="G184" s="339" t="str">
        <f t="shared" ca="1" si="8"/>
        <v>B194</v>
      </c>
      <c r="H184" s="339" t="str">
        <f t="shared" ca="1" si="9"/>
        <v>HP_1!B194</v>
      </c>
    </row>
    <row r="185" spans="1:8" ht="24">
      <c r="A185" s="338" t="str">
        <f>HP_1!A195</f>
        <v>If "Exhaust Air Heat Pump(s)" what is the total exhaust Air Flow Rate</v>
      </c>
      <c r="B185" s="350">
        <f>HP_1!B195</f>
        <v>0</v>
      </c>
      <c r="C185" s="345" cm="1">
        <f t="array" aca="1" ref="C185" ca="1">INDIRECT($F185&amp;C$90&amp;"!"&amp;$G185)</f>
        <v>0</v>
      </c>
      <c r="D185" s="345" cm="1">
        <f t="array" aca="1" ref="D185" ca="1">INDIRECT($F185&amp;D$90&amp;"!"&amp;$G185)</f>
        <v>0</v>
      </c>
      <c r="E185" s="344">
        <f t="shared" ca="1" si="6"/>
        <v>0</v>
      </c>
      <c r="F185" s="339" t="str">
        <f t="shared" ca="1" si="7"/>
        <v>HP_</v>
      </c>
      <c r="G185" s="339" t="str">
        <f t="shared" ca="1" si="8"/>
        <v>B195</v>
      </c>
      <c r="H185" s="339" t="str">
        <f t="shared" ca="1" si="9"/>
        <v>HP_1!B195</v>
      </c>
    </row>
  </sheetData>
  <sheetProtection algorithmName="SHA-512" hashValue="vxIusd+yYIZhdpxU4XIq2Eql3089OUz6SbtArdEd9HFZPJFCEuslwYUoaGjd5xdukAYYcA6Hr4cm0HJ3ZGYswA==" saltValue="3B/hRFifIBuicTlS0tAZeA==" spinCount="100000" sheet="1" objects="1" scenarios="1"/>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040C1-CDBE-45C1-AA08-FE98DCEB134E}">
  <dimension ref="A1:AC60"/>
  <sheetViews>
    <sheetView zoomScale="55" zoomScaleNormal="55" workbookViewId="0">
      <selection activeCell="N16" sqref="N16"/>
    </sheetView>
  </sheetViews>
  <sheetFormatPr defaultColWidth="8.85546875" defaultRowHeight="24" customHeight="1"/>
  <cols>
    <col min="1" max="1" width="12.28515625" style="229" customWidth="1"/>
    <col min="2" max="2" width="25.7109375" style="229" bestFit="1" customWidth="1"/>
    <col min="3" max="3" width="18.5703125" style="229" bestFit="1" customWidth="1"/>
    <col min="4" max="4" width="29.140625" style="229" bestFit="1" customWidth="1"/>
    <col min="5" max="5" width="48.7109375" style="229" customWidth="1"/>
    <col min="6" max="7" width="12.28515625" style="229" bestFit="1" customWidth="1"/>
    <col min="8" max="8" width="12.28515625" style="229" customWidth="1"/>
    <col min="9" max="9" width="14.140625" style="229" bestFit="1" customWidth="1"/>
    <col min="10" max="10" width="8.85546875" style="238"/>
    <col min="11" max="11" width="21.7109375" style="268" customWidth="1"/>
    <col min="12" max="16384" width="8.85546875" style="229"/>
  </cols>
  <sheetData>
    <row r="1" spans="1:14" ht="105.6" customHeight="1" thickBot="1">
      <c r="A1" s="784" t="s">
        <v>473</v>
      </c>
      <c r="B1" s="785"/>
      <c r="C1" s="785"/>
      <c r="D1" s="785"/>
      <c r="E1" s="228" t="str">
        <f>"Diagnostics cell: 
"&amp;E52&amp;"
"
&amp;E54&amp;"
"&amp;E53&amp;"
"&amp;E55&amp;"
"&amp;E56</f>
        <v>Diagnostics cell: 
Air to Water
Electricity
Not low temperature heat pump
Ecodesign applies and/or ecodesign data available
I.S. EN 14825</v>
      </c>
      <c r="F1" s="786" t="s">
        <v>465</v>
      </c>
      <c r="G1" s="787"/>
      <c r="H1" s="788"/>
      <c r="I1" s="789"/>
      <c r="K1" s="267" t="s">
        <v>467</v>
      </c>
      <c r="M1" s="363" t="s">
        <v>509</v>
      </c>
      <c r="N1" s="293">
        <v>1</v>
      </c>
    </row>
    <row r="2" spans="1:14" s="238" customFormat="1" ht="37.9" customHeight="1" thickBot="1">
      <c r="A2" s="231" t="s">
        <v>469</v>
      </c>
      <c r="B2" s="232" t="s">
        <v>107</v>
      </c>
      <c r="C2" s="233" t="s">
        <v>470</v>
      </c>
      <c r="D2" s="233" t="s">
        <v>471</v>
      </c>
      <c r="E2" s="234" t="s">
        <v>472</v>
      </c>
      <c r="F2" s="235" t="s">
        <v>54</v>
      </c>
      <c r="G2" s="236" t="s">
        <v>62</v>
      </c>
      <c r="H2" s="266" t="s">
        <v>484</v>
      </c>
      <c r="I2" s="237" t="s">
        <v>393</v>
      </c>
      <c r="K2" s="268"/>
    </row>
    <row r="3" spans="1:14" ht="24" customHeight="1">
      <c r="A3" s="240">
        <f>IF(AND($E$52=B3,$E$54=C3,$E$53=D3,$E$55=E3 ),1,"")</f>
        <v>1</v>
      </c>
      <c r="B3" s="241" t="s">
        <v>55</v>
      </c>
      <c r="C3" s="242" t="s">
        <v>44</v>
      </c>
      <c r="D3" s="242" t="s">
        <v>383</v>
      </c>
      <c r="E3" s="243" t="s">
        <v>385</v>
      </c>
      <c r="F3" s="244" t="s">
        <v>54</v>
      </c>
      <c r="G3" s="245"/>
      <c r="H3" s="263"/>
      <c r="I3" s="246"/>
      <c r="K3" s="269" t="str">
        <f>F3&amp;CHAR(10)&amp;G3&amp;CHAR(10)&amp;H3&amp;CHAR(10)&amp;I3</f>
        <v xml:space="preserve">I.S. EN 14825
</v>
      </c>
    </row>
    <row r="4" spans="1:14" ht="24" customHeight="1">
      <c r="A4" s="240" t="str">
        <f t="shared" ref="A4:A30" si="0">IF(AND($E$52=B4,$E$54=C4,$E$53=D4,$E$55=E4 ),1,"")</f>
        <v/>
      </c>
      <c r="B4" s="241" t="s">
        <v>55</v>
      </c>
      <c r="C4" s="242" t="s">
        <v>44</v>
      </c>
      <c r="D4" s="242" t="s">
        <v>387</v>
      </c>
      <c r="E4" s="243" t="s">
        <v>385</v>
      </c>
      <c r="F4" s="247" t="s">
        <v>54</v>
      </c>
      <c r="G4" s="248"/>
      <c r="H4" s="264"/>
      <c r="I4" s="249"/>
      <c r="K4" s="269" t="str">
        <f t="shared" ref="K4:K30" si="1">F4&amp;CHAR(10)&amp;G4&amp;CHAR(10)&amp;H4&amp;CHAR(10)&amp;I4</f>
        <v xml:space="preserve">I.S. EN 14825
</v>
      </c>
    </row>
    <row r="5" spans="1:14" ht="24" customHeight="1">
      <c r="A5" s="240" t="str">
        <f t="shared" si="0"/>
        <v/>
      </c>
      <c r="B5" s="241" t="s">
        <v>63</v>
      </c>
      <c r="C5" s="242" t="s">
        <v>44</v>
      </c>
      <c r="D5" s="242" t="s">
        <v>383</v>
      </c>
      <c r="E5" s="243" t="s">
        <v>385</v>
      </c>
      <c r="F5" s="247" t="s">
        <v>54</v>
      </c>
      <c r="G5" s="248"/>
      <c r="H5" s="264"/>
      <c r="I5" s="249"/>
      <c r="K5" s="269" t="str">
        <f t="shared" si="1"/>
        <v xml:space="preserve">I.S. EN 14825
</v>
      </c>
    </row>
    <row r="6" spans="1:14" ht="24" customHeight="1">
      <c r="A6" s="240" t="str">
        <f t="shared" si="0"/>
        <v/>
      </c>
      <c r="B6" s="241" t="s">
        <v>63</v>
      </c>
      <c r="C6" s="242" t="s">
        <v>44</v>
      </c>
      <c r="D6" s="242" t="s">
        <v>387</v>
      </c>
      <c r="E6" s="243" t="s">
        <v>385</v>
      </c>
      <c r="F6" s="247" t="s">
        <v>54</v>
      </c>
      <c r="G6" s="248"/>
      <c r="H6" s="264"/>
      <c r="I6" s="249"/>
      <c r="K6" s="269" t="str">
        <f t="shared" si="1"/>
        <v xml:space="preserve">I.S. EN 14825
</v>
      </c>
    </row>
    <row r="7" spans="1:14" ht="24" customHeight="1">
      <c r="A7" s="240" t="str">
        <f t="shared" si="0"/>
        <v/>
      </c>
      <c r="B7" s="241" t="s">
        <v>73</v>
      </c>
      <c r="C7" s="242" t="s">
        <v>44</v>
      </c>
      <c r="D7" s="242" t="s">
        <v>383</v>
      </c>
      <c r="E7" s="243" t="s">
        <v>385</v>
      </c>
      <c r="F7" s="247" t="s">
        <v>54</v>
      </c>
      <c r="G7" s="248"/>
      <c r="H7" s="264"/>
      <c r="I7" s="249"/>
      <c r="K7" s="269" t="str">
        <f t="shared" si="1"/>
        <v xml:space="preserve">I.S. EN 14825
</v>
      </c>
    </row>
    <row r="8" spans="1:14" ht="24" customHeight="1">
      <c r="A8" s="240" t="str">
        <f t="shared" si="0"/>
        <v/>
      </c>
      <c r="B8" s="241" t="s">
        <v>73</v>
      </c>
      <c r="C8" s="242" t="s">
        <v>44</v>
      </c>
      <c r="D8" s="242" t="s">
        <v>387</v>
      </c>
      <c r="E8" s="243" t="s">
        <v>385</v>
      </c>
      <c r="F8" s="247" t="s">
        <v>54</v>
      </c>
      <c r="G8" s="248"/>
      <c r="H8" s="264"/>
      <c r="I8" s="249"/>
      <c r="K8" s="269" t="str">
        <f t="shared" si="1"/>
        <v xml:space="preserve">I.S. EN 14825
</v>
      </c>
    </row>
    <row r="9" spans="1:14" ht="24" customHeight="1">
      <c r="A9" s="240" t="str">
        <f t="shared" si="0"/>
        <v/>
      </c>
      <c r="B9" s="241" t="s">
        <v>82</v>
      </c>
      <c r="C9" s="242" t="s">
        <v>44</v>
      </c>
      <c r="D9" s="242" t="s">
        <v>383</v>
      </c>
      <c r="E9" s="243" t="s">
        <v>385</v>
      </c>
      <c r="F9" s="247" t="s">
        <v>54</v>
      </c>
      <c r="G9" s="248"/>
      <c r="H9" s="264"/>
      <c r="I9" s="249"/>
      <c r="K9" s="269" t="str">
        <f t="shared" si="1"/>
        <v xml:space="preserve">I.S. EN 14825
</v>
      </c>
    </row>
    <row r="10" spans="1:14" ht="24" customHeight="1">
      <c r="A10" s="240" t="str">
        <f t="shared" si="0"/>
        <v/>
      </c>
      <c r="B10" s="241" t="s">
        <v>82</v>
      </c>
      <c r="C10" s="242" t="s">
        <v>44</v>
      </c>
      <c r="D10" s="242" t="s">
        <v>387</v>
      </c>
      <c r="E10" s="243" t="s">
        <v>385</v>
      </c>
      <c r="F10" s="247" t="s">
        <v>54</v>
      </c>
      <c r="G10" s="248"/>
      <c r="H10" s="264"/>
      <c r="I10" s="249"/>
      <c r="K10" s="269" t="str">
        <f t="shared" si="1"/>
        <v xml:space="preserve">I.S. EN 14825
</v>
      </c>
    </row>
    <row r="11" spans="1:14" ht="24" customHeight="1">
      <c r="A11" s="240" t="str">
        <f t="shared" si="0"/>
        <v/>
      </c>
      <c r="B11" s="241" t="s">
        <v>392</v>
      </c>
      <c r="C11" s="242" t="s">
        <v>44</v>
      </c>
      <c r="D11" s="242" t="s">
        <v>383</v>
      </c>
      <c r="E11" s="243" t="s">
        <v>385</v>
      </c>
      <c r="F11" s="247" t="s">
        <v>54</v>
      </c>
      <c r="G11" s="248"/>
      <c r="H11" s="264"/>
      <c r="I11" s="249"/>
      <c r="K11" s="269" t="str">
        <f t="shared" si="1"/>
        <v xml:space="preserve">I.S. EN 14825
</v>
      </c>
    </row>
    <row r="12" spans="1:14" ht="24" customHeight="1">
      <c r="A12" s="240" t="str">
        <f t="shared" si="0"/>
        <v/>
      </c>
      <c r="B12" s="241" t="s">
        <v>392</v>
      </c>
      <c r="C12" s="242" t="s">
        <v>44</v>
      </c>
      <c r="D12" s="242" t="s">
        <v>387</v>
      </c>
      <c r="E12" s="243" t="s">
        <v>385</v>
      </c>
      <c r="F12" s="247" t="s">
        <v>54</v>
      </c>
      <c r="G12" s="248"/>
      <c r="H12" s="264"/>
      <c r="I12" s="249"/>
      <c r="K12" s="269" t="str">
        <f t="shared" si="1"/>
        <v xml:space="preserve">I.S. EN 14825
</v>
      </c>
    </row>
    <row r="13" spans="1:14" ht="24" customHeight="1">
      <c r="A13" s="240" t="str">
        <f t="shared" si="0"/>
        <v/>
      </c>
      <c r="B13" s="241" t="s">
        <v>88</v>
      </c>
      <c r="C13" s="242" t="s">
        <v>44</v>
      </c>
      <c r="D13" s="242" t="s">
        <v>383</v>
      </c>
      <c r="E13" s="243" t="s">
        <v>385</v>
      </c>
      <c r="F13" s="247" t="s">
        <v>54</v>
      </c>
      <c r="G13" s="248"/>
      <c r="H13" s="264"/>
      <c r="I13" s="249"/>
      <c r="K13" s="269" t="str">
        <f t="shared" si="1"/>
        <v xml:space="preserve">I.S. EN 14825
</v>
      </c>
    </row>
    <row r="14" spans="1:14" ht="24" customHeight="1">
      <c r="A14" s="240" t="str">
        <f t="shared" si="0"/>
        <v/>
      </c>
      <c r="B14" s="241" t="s">
        <v>93</v>
      </c>
      <c r="C14" s="242" t="s">
        <v>44</v>
      </c>
      <c r="D14" s="242" t="s">
        <v>383</v>
      </c>
      <c r="E14" s="243" t="s">
        <v>385</v>
      </c>
      <c r="F14" s="247" t="s">
        <v>54</v>
      </c>
      <c r="G14" s="248"/>
      <c r="H14" s="264"/>
      <c r="I14" s="249"/>
      <c r="K14" s="269" t="str">
        <f t="shared" si="1"/>
        <v xml:space="preserve">I.S. EN 14825
</v>
      </c>
    </row>
    <row r="15" spans="1:14" ht="24" customHeight="1">
      <c r="A15" s="240" t="str">
        <f t="shared" si="0"/>
        <v/>
      </c>
      <c r="B15" s="241" t="s">
        <v>96</v>
      </c>
      <c r="C15" s="242" t="s">
        <v>44</v>
      </c>
      <c r="D15" s="242" t="s">
        <v>383</v>
      </c>
      <c r="E15" s="243" t="s">
        <v>385</v>
      </c>
      <c r="F15" s="247" t="s">
        <v>54</v>
      </c>
      <c r="G15" s="248"/>
      <c r="H15" s="264"/>
      <c r="I15" s="249"/>
      <c r="K15" s="269" t="str">
        <f t="shared" si="1"/>
        <v xml:space="preserve">I.S. EN 14825
</v>
      </c>
    </row>
    <row r="16" spans="1:14" ht="36.6" customHeight="1">
      <c r="A16" s="240" t="str">
        <f t="shared" si="0"/>
        <v/>
      </c>
      <c r="B16" s="241" t="s">
        <v>55</v>
      </c>
      <c r="C16" s="242" t="s">
        <v>388</v>
      </c>
      <c r="D16" s="242" t="s">
        <v>383</v>
      </c>
      <c r="E16" s="243" t="s">
        <v>385</v>
      </c>
      <c r="F16" s="247"/>
      <c r="G16" s="248"/>
      <c r="H16" s="264"/>
      <c r="I16" s="249" t="s">
        <v>393</v>
      </c>
      <c r="K16" s="269" t="str">
        <f t="shared" si="1"/>
        <v xml:space="preserve">
I.S. EN 12309-6</v>
      </c>
    </row>
    <row r="17" spans="1:12" ht="33">
      <c r="A17" s="240" t="str">
        <f t="shared" si="0"/>
        <v/>
      </c>
      <c r="B17" s="241" t="s">
        <v>55</v>
      </c>
      <c r="C17" s="242" t="s">
        <v>388</v>
      </c>
      <c r="D17" s="242" t="s">
        <v>387</v>
      </c>
      <c r="E17" s="243" t="s">
        <v>385</v>
      </c>
      <c r="F17" s="247"/>
      <c r="G17" s="248"/>
      <c r="H17" s="264"/>
      <c r="I17" s="249" t="s">
        <v>393</v>
      </c>
      <c r="K17" s="269" t="str">
        <f t="shared" si="1"/>
        <v xml:space="preserve">
I.S. EN 12309-6</v>
      </c>
    </row>
    <row r="18" spans="1:12" ht="33">
      <c r="A18" s="240" t="str">
        <f t="shared" si="0"/>
        <v/>
      </c>
      <c r="B18" s="241" t="s">
        <v>63</v>
      </c>
      <c r="C18" s="242" t="s">
        <v>388</v>
      </c>
      <c r="D18" s="242" t="s">
        <v>383</v>
      </c>
      <c r="E18" s="243" t="s">
        <v>385</v>
      </c>
      <c r="F18" s="247"/>
      <c r="G18" s="248"/>
      <c r="H18" s="264"/>
      <c r="I18" s="249" t="s">
        <v>393</v>
      </c>
      <c r="K18" s="269" t="str">
        <f t="shared" si="1"/>
        <v xml:space="preserve">
I.S. EN 12309-6</v>
      </c>
    </row>
    <row r="19" spans="1:12" ht="33">
      <c r="A19" s="240" t="str">
        <f t="shared" si="0"/>
        <v/>
      </c>
      <c r="B19" s="241" t="s">
        <v>63</v>
      </c>
      <c r="C19" s="242" t="s">
        <v>388</v>
      </c>
      <c r="D19" s="242" t="s">
        <v>387</v>
      </c>
      <c r="E19" s="243" t="s">
        <v>385</v>
      </c>
      <c r="F19" s="247"/>
      <c r="G19" s="248"/>
      <c r="H19" s="264"/>
      <c r="I19" s="249" t="s">
        <v>393</v>
      </c>
      <c r="K19" s="269" t="str">
        <f t="shared" si="1"/>
        <v xml:space="preserve">
I.S. EN 12309-6</v>
      </c>
    </row>
    <row r="20" spans="1:12" ht="33">
      <c r="A20" s="240" t="str">
        <f t="shared" si="0"/>
        <v/>
      </c>
      <c r="B20" s="241" t="s">
        <v>73</v>
      </c>
      <c r="C20" s="242" t="s">
        <v>388</v>
      </c>
      <c r="D20" s="242" t="s">
        <v>383</v>
      </c>
      <c r="E20" s="243" t="s">
        <v>385</v>
      </c>
      <c r="F20" s="247"/>
      <c r="G20" s="248"/>
      <c r="H20" s="264"/>
      <c r="I20" s="249" t="s">
        <v>393</v>
      </c>
      <c r="K20" s="269" t="str">
        <f t="shared" si="1"/>
        <v xml:space="preserve">
I.S. EN 12309-6</v>
      </c>
    </row>
    <row r="21" spans="1:12" ht="33.75" thickBot="1">
      <c r="A21" s="240" t="str">
        <f t="shared" si="0"/>
        <v/>
      </c>
      <c r="B21" s="241" t="s">
        <v>73</v>
      </c>
      <c r="C21" s="242" t="s">
        <v>388</v>
      </c>
      <c r="D21" s="242" t="s">
        <v>387</v>
      </c>
      <c r="E21" s="243" t="s">
        <v>385</v>
      </c>
      <c r="F21" s="250"/>
      <c r="G21" s="251"/>
      <c r="H21" s="265"/>
      <c r="I21" s="252" t="s">
        <v>393</v>
      </c>
      <c r="K21" s="269" t="str">
        <f t="shared" si="1"/>
        <v xml:space="preserve">
I.S. EN 12309-6</v>
      </c>
    </row>
    <row r="22" spans="1:12" ht="33">
      <c r="A22" s="240" t="str">
        <f t="shared" si="0"/>
        <v/>
      </c>
      <c r="B22" s="241" t="s">
        <v>55</v>
      </c>
      <c r="C22" s="242" t="s">
        <v>44</v>
      </c>
      <c r="D22" s="242" t="s">
        <v>383</v>
      </c>
      <c r="E22" s="243" t="s">
        <v>391</v>
      </c>
      <c r="F22" s="244"/>
      <c r="G22" s="245" t="s">
        <v>62</v>
      </c>
      <c r="H22" s="263"/>
      <c r="I22" s="246"/>
      <c r="K22" s="269" t="str">
        <f t="shared" si="1"/>
        <v xml:space="preserve">
I.S. EN 14511
</v>
      </c>
    </row>
    <row r="23" spans="1:12" ht="33">
      <c r="A23" s="240" t="str">
        <f t="shared" si="0"/>
        <v/>
      </c>
      <c r="B23" s="241" t="s">
        <v>63</v>
      </c>
      <c r="C23" s="242" t="s">
        <v>44</v>
      </c>
      <c r="D23" s="242" t="s">
        <v>383</v>
      </c>
      <c r="E23" s="243" t="s">
        <v>391</v>
      </c>
      <c r="F23" s="247"/>
      <c r="G23" s="248" t="s">
        <v>62</v>
      </c>
      <c r="H23" s="264"/>
      <c r="I23" s="249"/>
      <c r="K23" s="269" t="str">
        <f t="shared" si="1"/>
        <v xml:space="preserve">
I.S. EN 14511
</v>
      </c>
    </row>
    <row r="24" spans="1:12" ht="24" customHeight="1">
      <c r="A24" s="240" t="str">
        <f t="shared" si="0"/>
        <v/>
      </c>
      <c r="B24" s="241" t="s">
        <v>73</v>
      </c>
      <c r="C24" s="242" t="s">
        <v>44</v>
      </c>
      <c r="D24" s="242" t="s">
        <v>383</v>
      </c>
      <c r="E24" s="243" t="s">
        <v>391</v>
      </c>
      <c r="F24" s="247"/>
      <c r="G24" s="248" t="s">
        <v>62</v>
      </c>
      <c r="H24" s="264"/>
      <c r="I24" s="249"/>
      <c r="K24" s="269" t="str">
        <f t="shared" si="1"/>
        <v xml:space="preserve">
I.S. EN 14511
</v>
      </c>
    </row>
    <row r="25" spans="1:12" ht="24" customHeight="1">
      <c r="A25" s="240" t="str">
        <f t="shared" si="0"/>
        <v/>
      </c>
      <c r="B25" s="241" t="s">
        <v>82</v>
      </c>
      <c r="C25" s="242" t="s">
        <v>44</v>
      </c>
      <c r="D25" s="242" t="s">
        <v>383</v>
      </c>
      <c r="E25" s="243" t="s">
        <v>391</v>
      </c>
      <c r="F25" s="247"/>
      <c r="G25" s="248" t="s">
        <v>62</v>
      </c>
      <c r="H25" s="264"/>
      <c r="I25" s="249"/>
      <c r="K25" s="269" t="str">
        <f t="shared" si="1"/>
        <v xml:space="preserve">
I.S. EN 14511
</v>
      </c>
    </row>
    <row r="26" spans="1:12" ht="24" customHeight="1">
      <c r="A26" s="240" t="str">
        <f t="shared" si="0"/>
        <v/>
      </c>
      <c r="B26" s="241" t="s">
        <v>392</v>
      </c>
      <c r="C26" s="242" t="s">
        <v>44</v>
      </c>
      <c r="D26" s="242" t="s">
        <v>383</v>
      </c>
      <c r="E26" s="243" t="s">
        <v>391</v>
      </c>
      <c r="F26" s="247"/>
      <c r="G26" s="248" t="s">
        <v>62</v>
      </c>
      <c r="H26" s="264"/>
      <c r="I26" s="249"/>
      <c r="K26" s="269" t="str">
        <f t="shared" si="1"/>
        <v xml:space="preserve">
I.S. EN 14511
</v>
      </c>
    </row>
    <row r="27" spans="1:12" ht="33">
      <c r="A27" s="240" t="str">
        <f t="shared" si="0"/>
        <v/>
      </c>
      <c r="B27" s="241" t="s">
        <v>88</v>
      </c>
      <c r="C27" s="242" t="s">
        <v>44</v>
      </c>
      <c r="D27" s="242" t="s">
        <v>383</v>
      </c>
      <c r="E27" s="243" t="s">
        <v>391</v>
      </c>
      <c r="F27" s="247"/>
      <c r="G27" s="248" t="s">
        <v>62</v>
      </c>
      <c r="H27" s="264" t="s">
        <v>484</v>
      </c>
      <c r="I27" s="249"/>
      <c r="K27" s="269" t="str">
        <f t="shared" si="1"/>
        <v xml:space="preserve">
I.S. EN 14511
I.S. EN 13141
</v>
      </c>
    </row>
    <row r="28" spans="1:12" ht="33">
      <c r="A28" s="240" t="str">
        <f t="shared" si="0"/>
        <v/>
      </c>
      <c r="B28" s="241" t="s">
        <v>93</v>
      </c>
      <c r="C28" s="242" t="s">
        <v>44</v>
      </c>
      <c r="D28" s="242" t="s">
        <v>383</v>
      </c>
      <c r="E28" s="243" t="s">
        <v>391</v>
      </c>
      <c r="F28" s="247"/>
      <c r="G28" s="248" t="s">
        <v>62</v>
      </c>
      <c r="H28" s="264"/>
      <c r="I28" s="249"/>
      <c r="K28" s="269" t="str">
        <f t="shared" si="1"/>
        <v xml:space="preserve">
I.S. EN 14511
</v>
      </c>
    </row>
    <row r="29" spans="1:12" ht="33">
      <c r="A29" s="240" t="str">
        <f t="shared" si="0"/>
        <v/>
      </c>
      <c r="B29" s="241" t="s">
        <v>96</v>
      </c>
      <c r="C29" s="242" t="s">
        <v>44</v>
      </c>
      <c r="D29" s="242" t="s">
        <v>383</v>
      </c>
      <c r="E29" s="243" t="s">
        <v>391</v>
      </c>
      <c r="F29" s="247"/>
      <c r="G29" s="248" t="s">
        <v>62</v>
      </c>
      <c r="H29" s="264"/>
      <c r="I29" s="249"/>
      <c r="K29" s="269" t="str">
        <f t="shared" si="1"/>
        <v xml:space="preserve">
I.S. EN 14511
</v>
      </c>
    </row>
    <row r="30" spans="1:12" ht="41.45" customHeight="1" thickBot="1">
      <c r="A30" s="366" t="str">
        <f t="shared" si="0"/>
        <v/>
      </c>
      <c r="B30" s="367" t="s">
        <v>480</v>
      </c>
      <c r="C30" s="368" t="s">
        <v>44</v>
      </c>
      <c r="D30" s="368" t="s">
        <v>383</v>
      </c>
      <c r="E30" s="369" t="s">
        <v>391</v>
      </c>
      <c r="F30" s="250"/>
      <c r="G30" s="251"/>
      <c r="H30" s="265" t="s">
        <v>484</v>
      </c>
      <c r="I30" s="252"/>
      <c r="K30" s="269" t="str">
        <f t="shared" si="1"/>
        <v xml:space="preserve">
I.S. EN 13141
</v>
      </c>
    </row>
    <row r="31" spans="1:12" ht="63.6" customHeight="1">
      <c r="A31" s="375" t="str">
        <f>IF(A32&lt;&gt;"",A32,IF(A33&lt;&gt;"",A33,A34))</f>
        <v>Valid space heat pump type selected.</v>
      </c>
      <c r="B31" s="365" t="str">
        <f>VLOOKUP(1,$A$3:$P$30,2,FALSE)</f>
        <v>Air to Water</v>
      </c>
      <c r="C31" s="365" t="str">
        <f>VLOOKUP(1,$A$3:$P$30,3,FALSE)</f>
        <v>Electricity</v>
      </c>
      <c r="D31" s="365" t="str">
        <f>VLOOKUP(1,$A$3:$P$30,4,FALSE)</f>
        <v>Not low temperature heat pump</v>
      </c>
      <c r="E31" s="365" t="str">
        <f>VLOOKUP(1,$A$3:$P$30,5,FALSE)</f>
        <v>Ecodesign applies and/or ecodesign data available</v>
      </c>
      <c r="F31" s="790" t="s">
        <v>569</v>
      </c>
      <c r="G31" s="790"/>
      <c r="H31" s="790"/>
      <c r="I31" s="790"/>
      <c r="J31" s="791"/>
      <c r="K31" s="364" t="str">
        <f>VLOOKUP(1,$A$3:$P$30,11,FALSE)</f>
        <v xml:space="preserve">I.S. EN 14825
</v>
      </c>
      <c r="L31" s="354"/>
    </row>
    <row r="32" spans="1:12" ht="24" customHeight="1">
      <c r="A32" s="253" t="str">
        <f>IF(AND(E53="Low temperature heat pump",E59=TRUE,E60&lt;&gt;"I.S. EN 14825/14511"),"ERROR: Low temperature heat pump cannot provide hot water.","")</f>
        <v/>
      </c>
      <c r="B32" s="254"/>
      <c r="C32" s="254"/>
      <c r="D32" s="254"/>
      <c r="E32" s="254"/>
      <c r="F32" s="254"/>
      <c r="G32" s="254"/>
      <c r="H32" s="254"/>
    </row>
    <row r="33" spans="1:8" ht="24" customHeight="1">
      <c r="A33" s="253" t="str">
        <f>IF(SUM(A3:A30)&lt;&gt;1,"ERROR: Invalid space heat pump type selected. See allowable options in 'Space standards ID' tab","")</f>
        <v/>
      </c>
      <c r="B33" s="254"/>
      <c r="C33" s="254"/>
      <c r="D33" s="254"/>
      <c r="E33" s="254"/>
      <c r="F33" s="254"/>
      <c r="G33" s="254"/>
      <c r="H33" s="254"/>
    </row>
    <row r="34" spans="1:8" ht="24" customHeight="1">
      <c r="A34" s="255" t="s">
        <v>476</v>
      </c>
    </row>
    <row r="35" spans="1:8" ht="24" customHeight="1">
      <c r="A35" s="253"/>
    </row>
    <row r="36" spans="1:8" ht="24" customHeight="1">
      <c r="A36" s="253"/>
    </row>
    <row r="37" spans="1:8" ht="15"/>
    <row r="38" spans="1:8" ht="15"/>
    <row r="39" spans="1:8" ht="15"/>
    <row r="40" spans="1:8" ht="15"/>
    <row r="41" spans="1:8" ht="15"/>
    <row r="42" spans="1:8" ht="15"/>
    <row r="43" spans="1:8" ht="15"/>
    <row r="44" spans="1:8" ht="15"/>
    <row r="45" spans="1:8" ht="15"/>
    <row r="46" spans="1:8" ht="15"/>
    <row r="47" spans="1:8" ht="15"/>
    <row r="48" spans="1:8" ht="15"/>
    <row r="49" spans="1:29" ht="15.75" thickBot="1"/>
    <row r="50" spans="1:29" s="95" customFormat="1" ht="39" thickBot="1">
      <c r="A50" s="376" t="s">
        <v>568</v>
      </c>
      <c r="B50" s="377" t="s">
        <v>553</v>
      </c>
      <c r="C50" s="377" t="s">
        <v>554</v>
      </c>
      <c r="D50" s="377" t="s">
        <v>555</v>
      </c>
      <c r="E50" s="378"/>
      <c r="F50" s="378"/>
      <c r="G50" s="378"/>
      <c r="H50" s="378"/>
      <c r="I50" s="379"/>
      <c r="J50" s="97"/>
      <c r="L50" s="97"/>
      <c r="AC50" s="97"/>
    </row>
    <row r="51" spans="1:29" s="95" customFormat="1" ht="69.599999999999994" customHeight="1">
      <c r="A51" s="310" t="s">
        <v>551</v>
      </c>
      <c r="B51" s="310" t="str">
        <f>RIGHT(B50)</f>
        <v>1</v>
      </c>
      <c r="C51" s="310" t="str">
        <f>RIGHT(C50)</f>
        <v>2</v>
      </c>
      <c r="D51" s="310" t="str">
        <f>RIGHT(D50)</f>
        <v>3</v>
      </c>
      <c r="E51" s="310" t="s">
        <v>552</v>
      </c>
      <c r="F51" s="311" t="s">
        <v>547</v>
      </c>
      <c r="G51" s="311" t="s">
        <v>550</v>
      </c>
      <c r="H51" s="311" t="s">
        <v>556</v>
      </c>
      <c r="I51" s="97"/>
      <c r="J51" s="97"/>
      <c r="L51" s="97"/>
      <c r="AC51" s="97"/>
    </row>
    <row r="52" spans="1:29" s="95" customFormat="1" ht="31.5">
      <c r="A52" s="316" t="str">
        <f>HP_1!A12</f>
        <v>Type of heat pump</v>
      </c>
      <c r="B52" s="356" t="str">
        <f>HP_1!B12</f>
        <v>Air to Water</v>
      </c>
      <c r="C52" s="357" t="str" cm="1">
        <f t="array" aca="1" ref="C52" ca="1">INDIRECT($F52&amp;C$51&amp;"!"&amp;$G52)</f>
        <v>Air to Water</v>
      </c>
      <c r="D52" s="357" t="str" cm="1">
        <f t="array" aca="1" ref="D52" ca="1">INDIRECT($F52&amp;D$51&amp;"!"&amp;$G52)</f>
        <v>Air to Water</v>
      </c>
      <c r="E52" s="358" t="str">
        <f>VLOOKUP(A52,A52:D52,$N$1+1,FALSE)</f>
        <v>Air to Water</v>
      </c>
      <c r="F52" s="359" t="str">
        <f ca="1">LEFT(H52,FIND("1",H52)-1)</f>
        <v>HP_</v>
      </c>
      <c r="G52" s="359" t="str">
        <f ca="1">RIGHT(H52,LEN(H52)-FIND("!",H52))</f>
        <v>B12</v>
      </c>
      <c r="H52" s="360" t="str">
        <f ca="1">SUBSTITUTE( _xlfn.FORMULATEXT(B52),"=","")</f>
        <v>HP_1!B12</v>
      </c>
      <c r="L52" s="97"/>
      <c r="AC52" s="97"/>
    </row>
    <row r="53" spans="1:29" s="95" customFormat="1" ht="78.75">
      <c r="A53" s="316" t="str">
        <f>HP_1!D10</f>
        <v xml:space="preserve">Is this a Low Temperature Heat Pump? </v>
      </c>
      <c r="B53" s="362" t="str">
        <f>HP_1!G10</f>
        <v>Not low temperature heat pump</v>
      </c>
      <c r="C53" s="357" t="str" cm="1">
        <f t="array" aca="1" ref="C53" ca="1">INDIRECT($F53&amp;C$51&amp;"!"&amp;$G53)</f>
        <v>Not low temperature heat pump</v>
      </c>
      <c r="D53" s="357" t="str" cm="1">
        <f t="array" aca="1" ref="D53" ca="1">INDIRECT($F53&amp;D$51&amp;"!"&amp;$G53)</f>
        <v>Not low temperature heat pump</v>
      </c>
      <c r="E53" s="358" t="str">
        <f t="shared" ref="E53:E57" si="2">VLOOKUP(A53,A53:D53,$N$1+1,FALSE)</f>
        <v>Not low temperature heat pump</v>
      </c>
      <c r="F53" s="359" t="str">
        <f ca="1">LEFT(H53,FIND("1",H53)-1)</f>
        <v>HP_</v>
      </c>
      <c r="G53" s="359" t="str">
        <f ca="1">RIGHT(H53,LEN(H53)-FIND("!",H53))</f>
        <v>G10</v>
      </c>
      <c r="H53" s="360" t="str">
        <f ca="1">SUBSTITUTE( _xlfn.FORMULATEXT(B53),"=","")</f>
        <v>HP_1!G10</v>
      </c>
      <c r="L53" s="97"/>
      <c r="AC53" s="97"/>
    </row>
    <row r="54" spans="1:29" s="95" customFormat="1" ht="60.6" customHeight="1">
      <c r="A54" s="316" t="str">
        <f>HP_1!D11</f>
        <v xml:space="preserve">Is this heat pump electric or gas (GAHP)? </v>
      </c>
      <c r="B54" s="361" t="str">
        <f>HP_1!G11</f>
        <v>Electricity</v>
      </c>
      <c r="C54" s="357" t="str" cm="1">
        <f t="array" aca="1" ref="C54" ca="1">INDIRECT($F54&amp;C$51&amp;"!"&amp;$G54)</f>
        <v>Electricity</v>
      </c>
      <c r="D54" s="357" t="str" cm="1">
        <f t="array" aca="1" ref="D54" ca="1">INDIRECT($F54&amp;D$51&amp;"!"&amp;$G54)</f>
        <v>Electricity</v>
      </c>
      <c r="E54" s="358" t="str">
        <f t="shared" si="2"/>
        <v>Electricity</v>
      </c>
      <c r="F54" s="359" t="str">
        <f t="shared" ref="F54:F56" ca="1" si="3">LEFT(H54,FIND("1",H54)-1)</f>
        <v>HP_</v>
      </c>
      <c r="G54" s="359" t="str">
        <f t="shared" ref="G54:G56" ca="1" si="4">RIGHT(H54,LEN(H54)-FIND("!",H54))</f>
        <v>G11</v>
      </c>
      <c r="H54" s="360" t="str">
        <f t="shared" ref="H54:H56" ca="1" si="5">SUBSTITUTE( _xlfn.FORMULATEXT(B54),"=","")</f>
        <v>HP_1!G11</v>
      </c>
      <c r="L54" s="97"/>
      <c r="AC54" s="97"/>
    </row>
    <row r="55" spans="1:29" s="95" customFormat="1" ht="110.25">
      <c r="A55" s="316" t="str">
        <f>HP_1!D12</f>
        <v>What is the status of this heat pump regarding Ecodesign data?</v>
      </c>
      <c r="B55" s="362" t="str">
        <f>HP_1!G12</f>
        <v>Ecodesign applies and/or ecodesign data available</v>
      </c>
      <c r="C55" s="357" t="str" cm="1">
        <f t="array" aca="1" ref="C55" ca="1">INDIRECT($F55&amp;C$51&amp;"!"&amp;$G55)</f>
        <v>Ecodesign applies and/or ecodesign data available</v>
      </c>
      <c r="D55" s="357" t="str" cm="1">
        <f t="array" aca="1" ref="D55" ca="1">INDIRECT($F55&amp;D$51&amp;"!"&amp;$G55)</f>
        <v>Ecodesign applies and/or ecodesign data available</v>
      </c>
      <c r="E55" s="358" t="str">
        <f t="shared" si="2"/>
        <v>Ecodesign applies and/or ecodesign data available</v>
      </c>
      <c r="F55" s="359" t="str">
        <f t="shared" ca="1" si="3"/>
        <v>HP_</v>
      </c>
      <c r="G55" s="359" t="str">
        <f t="shared" ca="1" si="4"/>
        <v>G12</v>
      </c>
      <c r="H55" s="360" t="str">
        <f t="shared" ca="1" si="5"/>
        <v>HP_1!G12</v>
      </c>
      <c r="L55" s="97"/>
      <c r="AC55" s="97"/>
    </row>
    <row r="56" spans="1:29" s="95" customFormat="1" ht="63">
      <c r="A56" s="316" t="str">
        <f>HP_1!A14</f>
        <v>Space Heating Test Standard</v>
      </c>
      <c r="B56" s="356" t="str">
        <f>HP_1!B14</f>
        <v>I.S. EN 14825</v>
      </c>
      <c r="C56" s="357" t="str" cm="1">
        <f t="array" aca="1" ref="C56" ca="1">INDIRECT($F56&amp;C$51&amp;"!"&amp;$G56)</f>
        <v>I.S. EN 14825</v>
      </c>
      <c r="D56" s="357" t="str" cm="1">
        <f t="array" aca="1" ref="D56" ca="1">INDIRECT($F56&amp;D$51&amp;"!"&amp;$G56)</f>
        <v>I.S. EN 14825</v>
      </c>
      <c r="E56" s="358" t="str">
        <f t="shared" si="2"/>
        <v>I.S. EN 14825</v>
      </c>
      <c r="F56" s="359" t="str">
        <f t="shared" ca="1" si="3"/>
        <v>HP_</v>
      </c>
      <c r="G56" s="359" t="str">
        <f t="shared" ca="1" si="4"/>
        <v>B14</v>
      </c>
      <c r="H56" s="360" t="str">
        <f t="shared" ca="1" si="5"/>
        <v>HP_1!B14</v>
      </c>
      <c r="L56" s="97"/>
      <c r="AC56" s="97"/>
    </row>
    <row r="57" spans="1:29" ht="53.45" customHeight="1">
      <c r="A57" s="316" t="str">
        <f>HP_1!O10</f>
        <v>Space Heating served by HP</v>
      </c>
      <c r="B57" s="370" t="b">
        <f>HP_1!N10</f>
        <v>1</v>
      </c>
      <c r="C57" s="371" t="b" cm="1">
        <f t="array" aca="1" ref="C57" ca="1">INDIRECT($F57&amp;C$51&amp;"!"&amp;$G57)</f>
        <v>0</v>
      </c>
      <c r="D57" s="371" t="b" cm="1">
        <f t="array" aca="1" ref="D57" ca="1">INDIRECT($F57&amp;D$51&amp;"!"&amp;$G57)</f>
        <v>0</v>
      </c>
      <c r="E57" s="372" t="b">
        <f t="shared" si="2"/>
        <v>1</v>
      </c>
      <c r="F57" s="373" t="str">
        <f ca="1">LEFT(H57,FIND("1",H57)-1)</f>
        <v>HP_</v>
      </c>
      <c r="G57" s="373" t="str">
        <f ca="1">RIGHT(H57,LEN(H57)-FIND("!",H57))</f>
        <v>N10</v>
      </c>
      <c r="H57" s="374" t="str">
        <f ca="1">SUBSTITUTE( _xlfn.FORMULATEXT(B57),"=","")</f>
        <v>HP_1!N10</v>
      </c>
    </row>
    <row r="58" spans="1:29" ht="72" customHeight="1">
      <c r="A58" s="316" t="str">
        <f>HP_1!O11</f>
        <v>Hot Water served by HP</v>
      </c>
      <c r="B58" s="370" t="b">
        <f>HP_1!N11</f>
        <v>1</v>
      </c>
      <c r="C58" s="371" t="b" cm="1">
        <f t="array" aca="1" ref="C58" ca="1">INDIRECT($F58&amp;C$51&amp;"!"&amp;$G58)</f>
        <v>0</v>
      </c>
      <c r="D58" s="371" t="b" cm="1">
        <f t="array" aca="1" ref="D58" ca="1">INDIRECT($F58&amp;D$51&amp;"!"&amp;$G58)</f>
        <v>0</v>
      </c>
      <c r="E58" s="372" t="b">
        <f t="shared" ref="E58:E60" si="6">VLOOKUP(A58,A58:D58,$N$1+1,FALSE)</f>
        <v>1</v>
      </c>
      <c r="F58" s="373" t="str">
        <f t="shared" ref="F58:F60" ca="1" si="7">LEFT(H58,FIND("1",H58)-1)</f>
        <v>HP_</v>
      </c>
      <c r="G58" s="373" t="str">
        <f t="shared" ref="G58:G60" ca="1" si="8">RIGHT(H58,LEN(H58)-FIND("!",H58))</f>
        <v>N11</v>
      </c>
      <c r="H58" s="374" t="str">
        <f t="shared" ref="H58:H60" ca="1" si="9">SUBSTITUTE( _xlfn.FORMULATEXT(B58),"=","")</f>
        <v>HP_1!N11</v>
      </c>
    </row>
    <row r="59" spans="1:29" ht="65.45" customHeight="1">
      <c r="A59" s="316" t="str">
        <f>HP_1!O12</f>
        <v>Same HP for Space and Water Heating</v>
      </c>
      <c r="B59" s="370" t="b">
        <f>HP_1!N12</f>
        <v>1</v>
      </c>
      <c r="C59" s="371" t="b" cm="1">
        <f t="array" aca="1" ref="C59" ca="1">INDIRECT($F59&amp;C$51&amp;"!"&amp;$G59)</f>
        <v>0</v>
      </c>
      <c r="D59" s="371" t="b" cm="1">
        <f t="array" aca="1" ref="D59" ca="1">INDIRECT($F59&amp;D$51&amp;"!"&amp;$G59)</f>
        <v>0</v>
      </c>
      <c r="E59" s="372" t="b">
        <f t="shared" si="6"/>
        <v>1</v>
      </c>
      <c r="F59" s="373" t="str">
        <f t="shared" ca="1" si="7"/>
        <v>HP_</v>
      </c>
      <c r="G59" s="373" t="str">
        <f t="shared" ca="1" si="8"/>
        <v>N12</v>
      </c>
      <c r="H59" s="374" t="str">
        <f t="shared" ca="1" si="9"/>
        <v>HP_1!N12</v>
      </c>
    </row>
    <row r="60" spans="1:29" ht="24" customHeight="1">
      <c r="A60" s="316" t="str">
        <f>HP_1!A68</f>
        <v>Water Heating Test Standard</v>
      </c>
      <c r="B60" s="356" t="str">
        <f>HP_1!B68</f>
        <v>I.S. EN 16147</v>
      </c>
      <c r="C60" s="357" t="str" cm="1">
        <f t="array" aca="1" ref="C60" ca="1">INDIRECT($F60&amp;C$51&amp;"!"&amp;$G60)</f>
        <v>I.S. EN 16147</v>
      </c>
      <c r="D60" s="357" t="str" cm="1">
        <f t="array" aca="1" ref="D60" ca="1">INDIRECT($F60&amp;D$51&amp;"!"&amp;$G60)</f>
        <v>I.S. EN 16147</v>
      </c>
      <c r="E60" s="358" t="str">
        <f t="shared" si="6"/>
        <v>I.S. EN 16147</v>
      </c>
      <c r="F60" s="359" t="str">
        <f t="shared" ca="1" si="7"/>
        <v>HP_</v>
      </c>
      <c r="G60" s="359" t="str">
        <f t="shared" ca="1" si="8"/>
        <v>B68</v>
      </c>
      <c r="H60" s="360" t="str">
        <f t="shared" ca="1" si="9"/>
        <v>HP_1!B68</v>
      </c>
    </row>
  </sheetData>
  <sheetProtection algorithmName="SHA-512" hashValue="NkjbBU+xkqIBFmIzVJBxr7Coxmi8gLPyG/gY0cLqOyHyYXO/x8fykCCXPmmlax82iQw4nZlSf+dxWMZzVmmvbQ==" saltValue="6VoAY6iQYbXhg0JvYJwWCg==" spinCount="100000" sheet="1" objects="1" scenarios="1"/>
  <autoFilter ref="A2:K34" xr:uid="{3A978C5E-8AA7-4C8C-8395-C11E814AEE32}"/>
  <mergeCells count="3">
    <mergeCell ref="A1:D1"/>
    <mergeCell ref="F1:I1"/>
    <mergeCell ref="F31:J31"/>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3FE69EDF-3125-4A8B-B20F-B0F03B778787}">
          <x14:formula1>
            <xm:f>HP_1!$S$1:$S$9</xm:f>
          </x14:formula1>
          <xm:sqref>B3:B30</xm:sqref>
        </x14:dataValidation>
        <x14:dataValidation type="list" allowBlank="1" showInputMessage="1" showErrorMessage="1" xr:uid="{2C0B966C-B123-42BB-ABB9-072558924BF7}">
          <x14:formula1>
            <xm:f>HP_1!$Q$2:$Q$3</xm:f>
          </x14:formula1>
          <xm:sqref>C3:C30</xm:sqref>
        </x14:dataValidation>
        <x14:dataValidation type="list" allowBlank="1" showInputMessage="1" showErrorMessage="1" xr:uid="{419E2A5D-6123-4A3B-98F8-411B6F49EED6}">
          <x14:formula1>
            <xm:f>HP_1!$R$1:$R$2</xm:f>
          </x14:formula1>
          <xm:sqref>D3:D30</xm:sqref>
        </x14:dataValidation>
        <x14:dataValidation type="list" allowBlank="1" showInputMessage="1" showErrorMessage="1" xr:uid="{2707B045-580A-4407-A931-ABB5F8F04EB1}">
          <x14:formula1>
            <xm:f>HP_1!$T$2:$T$3</xm:f>
          </x14:formula1>
          <xm:sqref>E3:E30</xm:sqref>
        </x14:dataValidation>
        <x14:dataValidation type="list" allowBlank="1" showInputMessage="1" showErrorMessage="1" xr:uid="{F2E14130-2177-4F45-A1F5-51949D0E5A23}">
          <x14:formula1>
            <xm:f>HP_1!$N$1:$N$7</xm:f>
          </x14:formula1>
          <xm:sqref>F3:I30</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B911F-3360-41D1-BFDB-626AB53F9712}">
  <dimension ref="A1:AC60"/>
  <sheetViews>
    <sheetView zoomScale="55" zoomScaleNormal="55" workbookViewId="0">
      <selection activeCell="M17" sqref="M17"/>
    </sheetView>
  </sheetViews>
  <sheetFormatPr defaultColWidth="8.85546875" defaultRowHeight="24" customHeight="1"/>
  <cols>
    <col min="1" max="1" width="12.28515625" style="229" customWidth="1"/>
    <col min="2" max="2" width="25.7109375" style="229" bestFit="1" customWidth="1"/>
    <col min="3" max="3" width="18.5703125" style="229" bestFit="1" customWidth="1"/>
    <col min="4" max="4" width="29.140625" style="229" bestFit="1" customWidth="1"/>
    <col min="5" max="5" width="48.7109375" style="229" customWidth="1"/>
    <col min="6" max="7" width="12.28515625" style="229" bestFit="1" customWidth="1"/>
    <col min="8" max="8" width="12.28515625" style="229" customWidth="1"/>
    <col min="9" max="9" width="14.140625" style="229" bestFit="1" customWidth="1"/>
    <col min="10" max="10" width="8.85546875" style="238"/>
    <col min="11" max="11" width="21.7109375" style="268" customWidth="1"/>
    <col min="12" max="16384" width="8.85546875" style="229"/>
  </cols>
  <sheetData>
    <row r="1" spans="1:14" ht="105.6" customHeight="1" thickBot="1">
      <c r="A1" s="784" t="s">
        <v>473</v>
      </c>
      <c r="B1" s="785"/>
      <c r="C1" s="785"/>
      <c r="D1" s="785"/>
      <c r="E1" s="228" t="str">
        <f ca="1">"Diagnostics cell: 
"&amp;E52&amp;"
"
&amp;E54&amp;"
"&amp;E53&amp;"
"&amp;E55&amp;"
"&amp;E56</f>
        <v>Diagnostics cell: 
Air to Water
Electricity
Not low temperature heat pump
Ecodesign applies and/or ecodesign data available
I.S. EN 14825</v>
      </c>
      <c r="F1" s="786" t="s">
        <v>465</v>
      </c>
      <c r="G1" s="787"/>
      <c r="H1" s="788"/>
      <c r="I1" s="789"/>
      <c r="K1" s="267" t="s">
        <v>467</v>
      </c>
      <c r="M1" s="363" t="s">
        <v>509</v>
      </c>
      <c r="N1" s="293">
        <v>2</v>
      </c>
    </row>
    <row r="2" spans="1:14" s="238" customFormat="1" ht="37.9" customHeight="1" thickBot="1">
      <c r="A2" s="231" t="s">
        <v>469</v>
      </c>
      <c r="B2" s="232" t="s">
        <v>107</v>
      </c>
      <c r="C2" s="233" t="s">
        <v>470</v>
      </c>
      <c r="D2" s="233" t="s">
        <v>471</v>
      </c>
      <c r="E2" s="234" t="s">
        <v>472</v>
      </c>
      <c r="F2" s="235" t="s">
        <v>54</v>
      </c>
      <c r="G2" s="236" t="s">
        <v>62</v>
      </c>
      <c r="H2" s="266" t="s">
        <v>484</v>
      </c>
      <c r="I2" s="237" t="s">
        <v>393</v>
      </c>
      <c r="K2" s="268"/>
    </row>
    <row r="3" spans="1:14" ht="24" customHeight="1">
      <c r="A3" s="240">
        <f ca="1">IF(AND($E$52=B3,$E$54=C3,$E$53=D3,$E$55=E3 ),1,"")</f>
        <v>1</v>
      </c>
      <c r="B3" s="241" t="s">
        <v>55</v>
      </c>
      <c r="C3" s="242" t="s">
        <v>44</v>
      </c>
      <c r="D3" s="242" t="s">
        <v>383</v>
      </c>
      <c r="E3" s="243" t="s">
        <v>385</v>
      </c>
      <c r="F3" s="244" t="s">
        <v>54</v>
      </c>
      <c r="G3" s="245"/>
      <c r="H3" s="263"/>
      <c r="I3" s="246"/>
      <c r="K3" s="269" t="str">
        <f>F3&amp;CHAR(10)&amp;G3&amp;CHAR(10)&amp;H3&amp;CHAR(10)&amp;I3</f>
        <v xml:space="preserve">I.S. EN 14825
</v>
      </c>
    </row>
    <row r="4" spans="1:14" ht="24" customHeight="1">
      <c r="A4" s="240" t="str">
        <f t="shared" ref="A4:A30" ca="1" si="0">IF(AND($E$52=B4,$E$54=C4,$E$53=D4,$E$55=E4 ),1,"")</f>
        <v/>
      </c>
      <c r="B4" s="241" t="s">
        <v>55</v>
      </c>
      <c r="C4" s="242" t="s">
        <v>44</v>
      </c>
      <c r="D4" s="242" t="s">
        <v>387</v>
      </c>
      <c r="E4" s="243" t="s">
        <v>385</v>
      </c>
      <c r="F4" s="247" t="s">
        <v>54</v>
      </c>
      <c r="G4" s="248"/>
      <c r="H4" s="264"/>
      <c r="I4" s="249"/>
      <c r="K4" s="269" t="str">
        <f t="shared" ref="K4:K30" si="1">F4&amp;CHAR(10)&amp;G4&amp;CHAR(10)&amp;H4&amp;CHAR(10)&amp;I4</f>
        <v xml:space="preserve">I.S. EN 14825
</v>
      </c>
    </row>
    <row r="5" spans="1:14" ht="24" customHeight="1">
      <c r="A5" s="240" t="str">
        <f t="shared" ca="1" si="0"/>
        <v/>
      </c>
      <c r="B5" s="241" t="s">
        <v>63</v>
      </c>
      <c r="C5" s="242" t="s">
        <v>44</v>
      </c>
      <c r="D5" s="242" t="s">
        <v>383</v>
      </c>
      <c r="E5" s="243" t="s">
        <v>385</v>
      </c>
      <c r="F5" s="247" t="s">
        <v>54</v>
      </c>
      <c r="G5" s="248"/>
      <c r="H5" s="264"/>
      <c r="I5" s="249"/>
      <c r="K5" s="269" t="str">
        <f t="shared" si="1"/>
        <v xml:space="preserve">I.S. EN 14825
</v>
      </c>
    </row>
    <row r="6" spans="1:14" ht="24" customHeight="1">
      <c r="A6" s="240" t="str">
        <f t="shared" ca="1" si="0"/>
        <v/>
      </c>
      <c r="B6" s="241" t="s">
        <v>63</v>
      </c>
      <c r="C6" s="242" t="s">
        <v>44</v>
      </c>
      <c r="D6" s="242" t="s">
        <v>387</v>
      </c>
      <c r="E6" s="243" t="s">
        <v>385</v>
      </c>
      <c r="F6" s="247" t="s">
        <v>54</v>
      </c>
      <c r="G6" s="248"/>
      <c r="H6" s="264"/>
      <c r="I6" s="249"/>
      <c r="K6" s="269" t="str">
        <f t="shared" si="1"/>
        <v xml:space="preserve">I.S. EN 14825
</v>
      </c>
    </row>
    <row r="7" spans="1:14" ht="24" customHeight="1">
      <c r="A7" s="240" t="str">
        <f t="shared" ca="1" si="0"/>
        <v/>
      </c>
      <c r="B7" s="241" t="s">
        <v>73</v>
      </c>
      <c r="C7" s="242" t="s">
        <v>44</v>
      </c>
      <c r="D7" s="242" t="s">
        <v>383</v>
      </c>
      <c r="E7" s="243" t="s">
        <v>385</v>
      </c>
      <c r="F7" s="247" t="s">
        <v>54</v>
      </c>
      <c r="G7" s="248"/>
      <c r="H7" s="264"/>
      <c r="I7" s="249"/>
      <c r="K7" s="269" t="str">
        <f t="shared" si="1"/>
        <v xml:space="preserve">I.S. EN 14825
</v>
      </c>
    </row>
    <row r="8" spans="1:14" ht="24" customHeight="1">
      <c r="A8" s="240" t="str">
        <f t="shared" ca="1" si="0"/>
        <v/>
      </c>
      <c r="B8" s="241" t="s">
        <v>73</v>
      </c>
      <c r="C8" s="242" t="s">
        <v>44</v>
      </c>
      <c r="D8" s="242" t="s">
        <v>387</v>
      </c>
      <c r="E8" s="243" t="s">
        <v>385</v>
      </c>
      <c r="F8" s="247" t="s">
        <v>54</v>
      </c>
      <c r="G8" s="248"/>
      <c r="H8" s="264"/>
      <c r="I8" s="249"/>
      <c r="K8" s="269" t="str">
        <f t="shared" si="1"/>
        <v xml:space="preserve">I.S. EN 14825
</v>
      </c>
    </row>
    <row r="9" spans="1:14" ht="24" customHeight="1">
      <c r="A9" s="240" t="str">
        <f t="shared" ca="1" si="0"/>
        <v/>
      </c>
      <c r="B9" s="241" t="s">
        <v>82</v>
      </c>
      <c r="C9" s="242" t="s">
        <v>44</v>
      </c>
      <c r="D9" s="242" t="s">
        <v>383</v>
      </c>
      <c r="E9" s="243" t="s">
        <v>385</v>
      </c>
      <c r="F9" s="247" t="s">
        <v>54</v>
      </c>
      <c r="G9" s="248"/>
      <c r="H9" s="264"/>
      <c r="I9" s="249"/>
      <c r="K9" s="269" t="str">
        <f t="shared" si="1"/>
        <v xml:space="preserve">I.S. EN 14825
</v>
      </c>
    </row>
    <row r="10" spans="1:14" ht="24" customHeight="1">
      <c r="A10" s="240" t="str">
        <f t="shared" ca="1" si="0"/>
        <v/>
      </c>
      <c r="B10" s="241" t="s">
        <v>82</v>
      </c>
      <c r="C10" s="242" t="s">
        <v>44</v>
      </c>
      <c r="D10" s="242" t="s">
        <v>387</v>
      </c>
      <c r="E10" s="243" t="s">
        <v>385</v>
      </c>
      <c r="F10" s="247" t="s">
        <v>54</v>
      </c>
      <c r="G10" s="248"/>
      <c r="H10" s="264"/>
      <c r="I10" s="249"/>
      <c r="K10" s="269" t="str">
        <f t="shared" si="1"/>
        <v xml:space="preserve">I.S. EN 14825
</v>
      </c>
    </row>
    <row r="11" spans="1:14" ht="24" customHeight="1">
      <c r="A11" s="240" t="str">
        <f t="shared" ca="1" si="0"/>
        <v/>
      </c>
      <c r="B11" s="241" t="s">
        <v>392</v>
      </c>
      <c r="C11" s="242" t="s">
        <v>44</v>
      </c>
      <c r="D11" s="242" t="s">
        <v>383</v>
      </c>
      <c r="E11" s="243" t="s">
        <v>385</v>
      </c>
      <c r="F11" s="247" t="s">
        <v>54</v>
      </c>
      <c r="G11" s="248"/>
      <c r="H11" s="264"/>
      <c r="I11" s="249"/>
      <c r="K11" s="269" t="str">
        <f t="shared" si="1"/>
        <v xml:space="preserve">I.S. EN 14825
</v>
      </c>
    </row>
    <row r="12" spans="1:14" ht="24" customHeight="1">
      <c r="A12" s="240" t="str">
        <f t="shared" ca="1" si="0"/>
        <v/>
      </c>
      <c r="B12" s="241" t="s">
        <v>392</v>
      </c>
      <c r="C12" s="242" t="s">
        <v>44</v>
      </c>
      <c r="D12" s="242" t="s">
        <v>387</v>
      </c>
      <c r="E12" s="243" t="s">
        <v>385</v>
      </c>
      <c r="F12" s="247" t="s">
        <v>54</v>
      </c>
      <c r="G12" s="248"/>
      <c r="H12" s="264"/>
      <c r="I12" s="249"/>
      <c r="K12" s="269" t="str">
        <f t="shared" si="1"/>
        <v xml:space="preserve">I.S. EN 14825
</v>
      </c>
    </row>
    <row r="13" spans="1:14" ht="24" customHeight="1">
      <c r="A13" s="240" t="str">
        <f t="shared" ca="1" si="0"/>
        <v/>
      </c>
      <c r="B13" s="241" t="s">
        <v>88</v>
      </c>
      <c r="C13" s="242" t="s">
        <v>44</v>
      </c>
      <c r="D13" s="242" t="s">
        <v>383</v>
      </c>
      <c r="E13" s="243" t="s">
        <v>385</v>
      </c>
      <c r="F13" s="247" t="s">
        <v>54</v>
      </c>
      <c r="G13" s="248"/>
      <c r="H13" s="264"/>
      <c r="I13" s="249"/>
      <c r="K13" s="269" t="str">
        <f t="shared" si="1"/>
        <v xml:space="preserve">I.S. EN 14825
</v>
      </c>
    </row>
    <row r="14" spans="1:14" ht="24" customHeight="1">
      <c r="A14" s="240" t="str">
        <f t="shared" ca="1" si="0"/>
        <v/>
      </c>
      <c r="B14" s="241" t="s">
        <v>93</v>
      </c>
      <c r="C14" s="242" t="s">
        <v>44</v>
      </c>
      <c r="D14" s="242" t="s">
        <v>383</v>
      </c>
      <c r="E14" s="243" t="s">
        <v>385</v>
      </c>
      <c r="F14" s="247" t="s">
        <v>54</v>
      </c>
      <c r="G14" s="248"/>
      <c r="H14" s="264"/>
      <c r="I14" s="249"/>
      <c r="K14" s="269" t="str">
        <f t="shared" si="1"/>
        <v xml:space="preserve">I.S. EN 14825
</v>
      </c>
    </row>
    <row r="15" spans="1:14" ht="24" customHeight="1">
      <c r="A15" s="240" t="str">
        <f t="shared" ca="1" si="0"/>
        <v/>
      </c>
      <c r="B15" s="241" t="s">
        <v>96</v>
      </c>
      <c r="C15" s="242" t="s">
        <v>44</v>
      </c>
      <c r="D15" s="242" t="s">
        <v>383</v>
      </c>
      <c r="E15" s="243" t="s">
        <v>385</v>
      </c>
      <c r="F15" s="247" t="s">
        <v>54</v>
      </c>
      <c r="G15" s="248"/>
      <c r="H15" s="264"/>
      <c r="I15" s="249"/>
      <c r="K15" s="269" t="str">
        <f t="shared" si="1"/>
        <v xml:space="preserve">I.S. EN 14825
</v>
      </c>
    </row>
    <row r="16" spans="1:14" ht="36.6" customHeight="1">
      <c r="A16" s="240" t="str">
        <f t="shared" ca="1" si="0"/>
        <v/>
      </c>
      <c r="B16" s="241" t="s">
        <v>55</v>
      </c>
      <c r="C16" s="242" t="s">
        <v>388</v>
      </c>
      <c r="D16" s="242" t="s">
        <v>383</v>
      </c>
      <c r="E16" s="243" t="s">
        <v>385</v>
      </c>
      <c r="F16" s="247"/>
      <c r="G16" s="248"/>
      <c r="H16" s="264"/>
      <c r="I16" s="249" t="s">
        <v>393</v>
      </c>
      <c r="K16" s="269" t="str">
        <f t="shared" si="1"/>
        <v xml:space="preserve">
I.S. EN 12309-6</v>
      </c>
    </row>
    <row r="17" spans="1:12" ht="33">
      <c r="A17" s="240" t="str">
        <f t="shared" ca="1" si="0"/>
        <v/>
      </c>
      <c r="B17" s="241" t="s">
        <v>55</v>
      </c>
      <c r="C17" s="242" t="s">
        <v>388</v>
      </c>
      <c r="D17" s="242" t="s">
        <v>387</v>
      </c>
      <c r="E17" s="243" t="s">
        <v>385</v>
      </c>
      <c r="F17" s="247"/>
      <c r="G17" s="248"/>
      <c r="H17" s="264"/>
      <c r="I17" s="249" t="s">
        <v>393</v>
      </c>
      <c r="K17" s="269" t="str">
        <f t="shared" si="1"/>
        <v xml:space="preserve">
I.S. EN 12309-6</v>
      </c>
    </row>
    <row r="18" spans="1:12" ht="33">
      <c r="A18" s="240" t="str">
        <f t="shared" ca="1" si="0"/>
        <v/>
      </c>
      <c r="B18" s="241" t="s">
        <v>63</v>
      </c>
      <c r="C18" s="242" t="s">
        <v>388</v>
      </c>
      <c r="D18" s="242" t="s">
        <v>383</v>
      </c>
      <c r="E18" s="243" t="s">
        <v>385</v>
      </c>
      <c r="F18" s="247"/>
      <c r="G18" s="248"/>
      <c r="H18" s="264"/>
      <c r="I18" s="249" t="s">
        <v>393</v>
      </c>
      <c r="K18" s="269" t="str">
        <f t="shared" si="1"/>
        <v xml:space="preserve">
I.S. EN 12309-6</v>
      </c>
    </row>
    <row r="19" spans="1:12" ht="33">
      <c r="A19" s="240" t="str">
        <f t="shared" ca="1" si="0"/>
        <v/>
      </c>
      <c r="B19" s="241" t="s">
        <v>63</v>
      </c>
      <c r="C19" s="242" t="s">
        <v>388</v>
      </c>
      <c r="D19" s="242" t="s">
        <v>387</v>
      </c>
      <c r="E19" s="243" t="s">
        <v>385</v>
      </c>
      <c r="F19" s="247"/>
      <c r="G19" s="248"/>
      <c r="H19" s="264"/>
      <c r="I19" s="249" t="s">
        <v>393</v>
      </c>
      <c r="K19" s="269" t="str">
        <f t="shared" si="1"/>
        <v xml:space="preserve">
I.S. EN 12309-6</v>
      </c>
    </row>
    <row r="20" spans="1:12" ht="33">
      <c r="A20" s="240" t="str">
        <f t="shared" ca="1" si="0"/>
        <v/>
      </c>
      <c r="B20" s="241" t="s">
        <v>73</v>
      </c>
      <c r="C20" s="242" t="s">
        <v>388</v>
      </c>
      <c r="D20" s="242" t="s">
        <v>383</v>
      </c>
      <c r="E20" s="243" t="s">
        <v>385</v>
      </c>
      <c r="F20" s="247"/>
      <c r="G20" s="248"/>
      <c r="H20" s="264"/>
      <c r="I20" s="249" t="s">
        <v>393</v>
      </c>
      <c r="K20" s="269" t="str">
        <f t="shared" si="1"/>
        <v xml:space="preserve">
I.S. EN 12309-6</v>
      </c>
    </row>
    <row r="21" spans="1:12" ht="33.75" thickBot="1">
      <c r="A21" s="240" t="str">
        <f t="shared" ca="1" si="0"/>
        <v/>
      </c>
      <c r="B21" s="241" t="s">
        <v>73</v>
      </c>
      <c r="C21" s="242" t="s">
        <v>388</v>
      </c>
      <c r="D21" s="242" t="s">
        <v>387</v>
      </c>
      <c r="E21" s="243" t="s">
        <v>385</v>
      </c>
      <c r="F21" s="250"/>
      <c r="G21" s="251"/>
      <c r="H21" s="265"/>
      <c r="I21" s="252" t="s">
        <v>393</v>
      </c>
      <c r="K21" s="269" t="str">
        <f t="shared" si="1"/>
        <v xml:space="preserve">
I.S. EN 12309-6</v>
      </c>
    </row>
    <row r="22" spans="1:12" ht="33">
      <c r="A22" s="240" t="str">
        <f t="shared" ca="1" si="0"/>
        <v/>
      </c>
      <c r="B22" s="241" t="s">
        <v>55</v>
      </c>
      <c r="C22" s="242" t="s">
        <v>44</v>
      </c>
      <c r="D22" s="242" t="s">
        <v>383</v>
      </c>
      <c r="E22" s="243" t="s">
        <v>391</v>
      </c>
      <c r="F22" s="244"/>
      <c r="G22" s="245" t="s">
        <v>62</v>
      </c>
      <c r="H22" s="263"/>
      <c r="I22" s="246"/>
      <c r="K22" s="269" t="str">
        <f t="shared" si="1"/>
        <v xml:space="preserve">
I.S. EN 14511
</v>
      </c>
    </row>
    <row r="23" spans="1:12" ht="33">
      <c r="A23" s="240" t="str">
        <f t="shared" ca="1" si="0"/>
        <v/>
      </c>
      <c r="B23" s="241" t="s">
        <v>63</v>
      </c>
      <c r="C23" s="242" t="s">
        <v>44</v>
      </c>
      <c r="D23" s="242" t="s">
        <v>383</v>
      </c>
      <c r="E23" s="243" t="s">
        <v>391</v>
      </c>
      <c r="F23" s="247"/>
      <c r="G23" s="248" t="s">
        <v>62</v>
      </c>
      <c r="H23" s="264"/>
      <c r="I23" s="249"/>
      <c r="K23" s="269" t="str">
        <f t="shared" si="1"/>
        <v xml:space="preserve">
I.S. EN 14511
</v>
      </c>
    </row>
    <row r="24" spans="1:12" ht="24" customHeight="1">
      <c r="A24" s="240" t="str">
        <f t="shared" ca="1" si="0"/>
        <v/>
      </c>
      <c r="B24" s="241" t="s">
        <v>73</v>
      </c>
      <c r="C24" s="242" t="s">
        <v>44</v>
      </c>
      <c r="D24" s="242" t="s">
        <v>383</v>
      </c>
      <c r="E24" s="243" t="s">
        <v>391</v>
      </c>
      <c r="F24" s="247"/>
      <c r="G24" s="248" t="s">
        <v>62</v>
      </c>
      <c r="H24" s="264"/>
      <c r="I24" s="249"/>
      <c r="K24" s="269" t="str">
        <f t="shared" si="1"/>
        <v xml:space="preserve">
I.S. EN 14511
</v>
      </c>
    </row>
    <row r="25" spans="1:12" ht="24" customHeight="1">
      <c r="A25" s="240" t="str">
        <f t="shared" ca="1" si="0"/>
        <v/>
      </c>
      <c r="B25" s="241" t="s">
        <v>82</v>
      </c>
      <c r="C25" s="242" t="s">
        <v>44</v>
      </c>
      <c r="D25" s="242" t="s">
        <v>383</v>
      </c>
      <c r="E25" s="243" t="s">
        <v>391</v>
      </c>
      <c r="F25" s="247"/>
      <c r="G25" s="248" t="s">
        <v>62</v>
      </c>
      <c r="H25" s="264"/>
      <c r="I25" s="249"/>
      <c r="K25" s="269" t="str">
        <f t="shared" si="1"/>
        <v xml:space="preserve">
I.S. EN 14511
</v>
      </c>
    </row>
    <row r="26" spans="1:12" ht="24" customHeight="1">
      <c r="A26" s="240" t="str">
        <f t="shared" ca="1" si="0"/>
        <v/>
      </c>
      <c r="B26" s="241" t="s">
        <v>392</v>
      </c>
      <c r="C26" s="242" t="s">
        <v>44</v>
      </c>
      <c r="D26" s="242" t="s">
        <v>383</v>
      </c>
      <c r="E26" s="243" t="s">
        <v>391</v>
      </c>
      <c r="F26" s="247"/>
      <c r="G26" s="248" t="s">
        <v>62</v>
      </c>
      <c r="H26" s="264"/>
      <c r="I26" s="249"/>
      <c r="K26" s="269" t="str">
        <f t="shared" si="1"/>
        <v xml:space="preserve">
I.S. EN 14511
</v>
      </c>
    </row>
    <row r="27" spans="1:12" ht="33">
      <c r="A27" s="240" t="str">
        <f t="shared" ca="1" si="0"/>
        <v/>
      </c>
      <c r="B27" s="241" t="s">
        <v>88</v>
      </c>
      <c r="C27" s="242" t="s">
        <v>44</v>
      </c>
      <c r="D27" s="242" t="s">
        <v>383</v>
      </c>
      <c r="E27" s="243" t="s">
        <v>391</v>
      </c>
      <c r="F27" s="247"/>
      <c r="G27" s="248" t="s">
        <v>62</v>
      </c>
      <c r="H27" s="264" t="s">
        <v>484</v>
      </c>
      <c r="I27" s="249"/>
      <c r="K27" s="269" t="str">
        <f t="shared" si="1"/>
        <v xml:space="preserve">
I.S. EN 14511
I.S. EN 13141
</v>
      </c>
    </row>
    <row r="28" spans="1:12" ht="33">
      <c r="A28" s="240" t="str">
        <f t="shared" ca="1" si="0"/>
        <v/>
      </c>
      <c r="B28" s="241" t="s">
        <v>93</v>
      </c>
      <c r="C28" s="242" t="s">
        <v>44</v>
      </c>
      <c r="D28" s="242" t="s">
        <v>383</v>
      </c>
      <c r="E28" s="243" t="s">
        <v>391</v>
      </c>
      <c r="F28" s="247"/>
      <c r="G28" s="248" t="s">
        <v>62</v>
      </c>
      <c r="H28" s="264"/>
      <c r="I28" s="249"/>
      <c r="K28" s="269" t="str">
        <f t="shared" si="1"/>
        <v xml:space="preserve">
I.S. EN 14511
</v>
      </c>
    </row>
    <row r="29" spans="1:12" ht="33">
      <c r="A29" s="240" t="str">
        <f t="shared" ca="1" si="0"/>
        <v/>
      </c>
      <c r="B29" s="241" t="s">
        <v>96</v>
      </c>
      <c r="C29" s="242" t="s">
        <v>44</v>
      </c>
      <c r="D29" s="242" t="s">
        <v>383</v>
      </c>
      <c r="E29" s="243" t="s">
        <v>391</v>
      </c>
      <c r="F29" s="247"/>
      <c r="G29" s="248" t="s">
        <v>62</v>
      </c>
      <c r="H29" s="264"/>
      <c r="I29" s="249"/>
      <c r="K29" s="269" t="str">
        <f t="shared" si="1"/>
        <v xml:space="preserve">
I.S. EN 14511
</v>
      </c>
    </row>
    <row r="30" spans="1:12" ht="41.45" customHeight="1" thickBot="1">
      <c r="A30" s="366" t="str">
        <f t="shared" ca="1" si="0"/>
        <v/>
      </c>
      <c r="B30" s="367" t="s">
        <v>480</v>
      </c>
      <c r="C30" s="368" t="s">
        <v>44</v>
      </c>
      <c r="D30" s="368" t="s">
        <v>383</v>
      </c>
      <c r="E30" s="369" t="s">
        <v>391</v>
      </c>
      <c r="F30" s="250"/>
      <c r="G30" s="251"/>
      <c r="H30" s="265" t="s">
        <v>484</v>
      </c>
      <c r="I30" s="252"/>
      <c r="K30" s="269" t="str">
        <f t="shared" si="1"/>
        <v xml:space="preserve">
I.S. EN 13141
</v>
      </c>
    </row>
    <row r="31" spans="1:12" ht="63.6" customHeight="1">
      <c r="A31" s="375" t="str">
        <f ca="1">IF(A32&lt;&gt;"",A32,IF(A33&lt;&gt;"",A33,A34))</f>
        <v>Valid space heat pump type selected.</v>
      </c>
      <c r="B31" s="365" t="str">
        <f ca="1">VLOOKUP(1,$A$3:$P$30,2,FALSE)</f>
        <v>Air to Water</v>
      </c>
      <c r="C31" s="365" t="str">
        <f ca="1">VLOOKUP(1,$A$3:$P$30,3,FALSE)</f>
        <v>Electricity</v>
      </c>
      <c r="D31" s="365" t="str">
        <f ca="1">VLOOKUP(1,$A$3:$P$30,4,FALSE)</f>
        <v>Not low temperature heat pump</v>
      </c>
      <c r="E31" s="365" t="str">
        <f ca="1">VLOOKUP(1,$A$3:$P$30,5,FALSE)</f>
        <v>Ecodesign applies and/or ecodesign data available</v>
      </c>
      <c r="F31" s="790" t="s">
        <v>569</v>
      </c>
      <c r="G31" s="790"/>
      <c r="H31" s="790"/>
      <c r="I31" s="790"/>
      <c r="J31" s="791"/>
      <c r="K31" s="364" t="str">
        <f ca="1">VLOOKUP(1,$A$3:$P$30,11,FALSE)</f>
        <v xml:space="preserve">I.S. EN 14825
</v>
      </c>
      <c r="L31" s="354"/>
    </row>
    <row r="32" spans="1:12" ht="24" customHeight="1">
      <c r="A32" s="253" t="str">
        <f ca="1">IF(AND(E53="Low temperature heat pump",E59=TRUE,E60&lt;&gt;"I.S. EN 14825/14511"),"ERROR: Low temperature heat pump cannot provide hot water.","")</f>
        <v/>
      </c>
      <c r="B32" s="254"/>
      <c r="C32" s="254"/>
      <c r="D32" s="254"/>
      <c r="E32" s="254"/>
      <c r="F32" s="254"/>
      <c r="G32" s="254"/>
      <c r="H32" s="254"/>
    </row>
    <row r="33" spans="1:8" ht="24" customHeight="1">
      <c r="A33" s="253" t="str">
        <f ca="1">IF(SUM(A3:A30)&lt;&gt;1,"ERROR: Invalid space heat pump type selected. See allowable options in 'Space standards ID' tab","")</f>
        <v/>
      </c>
      <c r="B33" s="254"/>
      <c r="C33" s="254"/>
      <c r="D33" s="254"/>
      <c r="E33" s="254"/>
      <c r="F33" s="254"/>
      <c r="G33" s="254"/>
      <c r="H33" s="254"/>
    </row>
    <row r="34" spans="1:8" ht="24" customHeight="1">
      <c r="A34" s="255" t="s">
        <v>476</v>
      </c>
    </row>
    <row r="35" spans="1:8" ht="24" customHeight="1">
      <c r="A35" s="253"/>
    </row>
    <row r="36" spans="1:8" ht="24" customHeight="1">
      <c r="A36" s="253"/>
    </row>
    <row r="37" spans="1:8" ht="15"/>
    <row r="38" spans="1:8" ht="15"/>
    <row r="39" spans="1:8" ht="15"/>
    <row r="40" spans="1:8" ht="15"/>
    <row r="41" spans="1:8" ht="15"/>
    <row r="42" spans="1:8" ht="15"/>
    <row r="43" spans="1:8" ht="15"/>
    <row r="44" spans="1:8" ht="15"/>
    <row r="45" spans="1:8" ht="15"/>
    <row r="46" spans="1:8" ht="15"/>
    <row r="47" spans="1:8" ht="15"/>
    <row r="48" spans="1:8" ht="15"/>
    <row r="49" spans="1:29" ht="15.75" thickBot="1"/>
    <row r="50" spans="1:29" s="95" customFormat="1" ht="39" thickBot="1">
      <c r="A50" s="376" t="s">
        <v>568</v>
      </c>
      <c r="B50" s="377" t="s">
        <v>553</v>
      </c>
      <c r="C50" s="377" t="s">
        <v>554</v>
      </c>
      <c r="D50" s="377" t="s">
        <v>555</v>
      </c>
      <c r="E50" s="378"/>
      <c r="F50" s="378"/>
      <c r="G50" s="378"/>
      <c r="H50" s="378"/>
      <c r="I50" s="379"/>
      <c r="J50" s="97"/>
      <c r="L50" s="97"/>
      <c r="AC50" s="97"/>
    </row>
    <row r="51" spans="1:29" s="95" customFormat="1" ht="69.599999999999994" customHeight="1">
      <c r="A51" s="310" t="s">
        <v>551</v>
      </c>
      <c r="B51" s="310" t="str">
        <f>RIGHT(B50)</f>
        <v>1</v>
      </c>
      <c r="C51" s="310" t="str">
        <f>RIGHT(C50)</f>
        <v>2</v>
      </c>
      <c r="D51" s="310" t="str">
        <f>RIGHT(D50)</f>
        <v>3</v>
      </c>
      <c r="E51" s="310" t="s">
        <v>552</v>
      </c>
      <c r="F51" s="311" t="s">
        <v>547</v>
      </c>
      <c r="G51" s="311" t="s">
        <v>550</v>
      </c>
      <c r="H51" s="311" t="s">
        <v>556</v>
      </c>
      <c r="I51" s="97"/>
      <c r="J51" s="97"/>
      <c r="L51" s="97"/>
      <c r="AC51" s="97"/>
    </row>
    <row r="52" spans="1:29" s="95" customFormat="1" ht="31.5">
      <c r="A52" s="316" t="str">
        <f>HP_1!A12</f>
        <v>Type of heat pump</v>
      </c>
      <c r="B52" s="356" t="str">
        <f>HP_1!B12</f>
        <v>Air to Water</v>
      </c>
      <c r="C52" s="357" t="str" cm="1">
        <f t="array" aca="1" ref="C52" ca="1">INDIRECT($F52&amp;C$51&amp;"!"&amp;$G52)</f>
        <v>Air to Water</v>
      </c>
      <c r="D52" s="357" t="str" cm="1">
        <f t="array" aca="1" ref="D52" ca="1">INDIRECT($F52&amp;D$51&amp;"!"&amp;$G52)</f>
        <v>Air to Water</v>
      </c>
      <c r="E52" s="358" t="str">
        <f ca="1">VLOOKUP(A52,A52:D52,$N$1+1,FALSE)</f>
        <v>Air to Water</v>
      </c>
      <c r="F52" s="359" t="str">
        <f ca="1">LEFT(H52,FIND("1",H52)-1)</f>
        <v>HP_</v>
      </c>
      <c r="G52" s="359" t="str">
        <f ca="1">RIGHT(H52,LEN(H52)-FIND("!",H52))</f>
        <v>B12</v>
      </c>
      <c r="H52" s="360" t="str">
        <f ca="1">SUBSTITUTE( _xlfn.FORMULATEXT(B52),"=","")</f>
        <v>HP_1!B12</v>
      </c>
      <c r="L52" s="97"/>
      <c r="AC52" s="97"/>
    </row>
    <row r="53" spans="1:29" s="95" customFormat="1" ht="78.75">
      <c r="A53" s="316" t="str">
        <f>HP_1!D10</f>
        <v xml:space="preserve">Is this a Low Temperature Heat Pump? </v>
      </c>
      <c r="B53" s="362" t="str">
        <f>HP_1!G10</f>
        <v>Not low temperature heat pump</v>
      </c>
      <c r="C53" s="357" t="str" cm="1">
        <f t="array" aca="1" ref="C53" ca="1">INDIRECT($F53&amp;C$51&amp;"!"&amp;$G53)</f>
        <v>Not low temperature heat pump</v>
      </c>
      <c r="D53" s="357" t="str" cm="1">
        <f t="array" aca="1" ref="D53" ca="1">INDIRECT($F53&amp;D$51&amp;"!"&amp;$G53)</f>
        <v>Not low temperature heat pump</v>
      </c>
      <c r="E53" s="358" t="str">
        <f t="shared" ref="E53:E60" ca="1" si="2">VLOOKUP(A53,A53:D53,$N$1+1,FALSE)</f>
        <v>Not low temperature heat pump</v>
      </c>
      <c r="F53" s="359" t="str">
        <f ca="1">LEFT(H53,FIND("1",H53)-1)</f>
        <v>HP_</v>
      </c>
      <c r="G53" s="359" t="str">
        <f ca="1">RIGHT(H53,LEN(H53)-FIND("!",H53))</f>
        <v>G10</v>
      </c>
      <c r="H53" s="360" t="str">
        <f ca="1">SUBSTITUTE( _xlfn.FORMULATEXT(B53),"=","")</f>
        <v>HP_1!G10</v>
      </c>
      <c r="L53" s="97"/>
      <c r="AC53" s="97"/>
    </row>
    <row r="54" spans="1:29" s="95" customFormat="1" ht="60.6" customHeight="1">
      <c r="A54" s="316" t="str">
        <f>HP_1!D11</f>
        <v xml:space="preserve">Is this heat pump electric or gas (GAHP)? </v>
      </c>
      <c r="B54" s="361" t="str">
        <f>HP_1!G11</f>
        <v>Electricity</v>
      </c>
      <c r="C54" s="357" t="str" cm="1">
        <f t="array" aca="1" ref="C54" ca="1">INDIRECT($F54&amp;C$51&amp;"!"&amp;$G54)</f>
        <v>Electricity</v>
      </c>
      <c r="D54" s="357" t="str" cm="1">
        <f t="array" aca="1" ref="D54" ca="1">INDIRECT($F54&amp;D$51&amp;"!"&amp;$G54)</f>
        <v>Electricity</v>
      </c>
      <c r="E54" s="358" t="str">
        <f t="shared" ca="1" si="2"/>
        <v>Electricity</v>
      </c>
      <c r="F54" s="359" t="str">
        <f t="shared" ref="F54:F56" ca="1" si="3">LEFT(H54,FIND("1",H54)-1)</f>
        <v>HP_</v>
      </c>
      <c r="G54" s="359" t="str">
        <f t="shared" ref="G54:G56" ca="1" si="4">RIGHT(H54,LEN(H54)-FIND("!",H54))</f>
        <v>G11</v>
      </c>
      <c r="H54" s="360" t="str">
        <f t="shared" ref="H54:H56" ca="1" si="5">SUBSTITUTE( _xlfn.FORMULATEXT(B54),"=","")</f>
        <v>HP_1!G11</v>
      </c>
      <c r="L54" s="97"/>
      <c r="AC54" s="97"/>
    </row>
    <row r="55" spans="1:29" s="95" customFormat="1" ht="110.25">
      <c r="A55" s="316" t="str">
        <f>HP_1!D12</f>
        <v>What is the status of this heat pump regarding Ecodesign data?</v>
      </c>
      <c r="B55" s="362" t="str">
        <f>HP_1!G12</f>
        <v>Ecodesign applies and/or ecodesign data available</v>
      </c>
      <c r="C55" s="357" t="str" cm="1">
        <f t="array" aca="1" ref="C55" ca="1">INDIRECT($F55&amp;C$51&amp;"!"&amp;$G55)</f>
        <v>Ecodesign applies and/or ecodesign data available</v>
      </c>
      <c r="D55" s="357" t="str" cm="1">
        <f t="array" aca="1" ref="D55" ca="1">INDIRECT($F55&amp;D$51&amp;"!"&amp;$G55)</f>
        <v>Ecodesign applies and/or ecodesign data available</v>
      </c>
      <c r="E55" s="358" t="str">
        <f t="shared" ca="1" si="2"/>
        <v>Ecodesign applies and/or ecodesign data available</v>
      </c>
      <c r="F55" s="359" t="str">
        <f t="shared" ca="1" si="3"/>
        <v>HP_</v>
      </c>
      <c r="G55" s="359" t="str">
        <f t="shared" ca="1" si="4"/>
        <v>G12</v>
      </c>
      <c r="H55" s="360" t="str">
        <f t="shared" ca="1" si="5"/>
        <v>HP_1!G12</v>
      </c>
      <c r="L55" s="97"/>
      <c r="AC55" s="97"/>
    </row>
    <row r="56" spans="1:29" s="95" customFormat="1" ht="63">
      <c r="A56" s="316" t="str">
        <f>HP_1!A14</f>
        <v>Space Heating Test Standard</v>
      </c>
      <c r="B56" s="356" t="str">
        <f>HP_1!B14</f>
        <v>I.S. EN 14825</v>
      </c>
      <c r="C56" s="357" t="str" cm="1">
        <f t="array" aca="1" ref="C56" ca="1">INDIRECT($F56&amp;C$51&amp;"!"&amp;$G56)</f>
        <v>I.S. EN 14825</v>
      </c>
      <c r="D56" s="357" t="str" cm="1">
        <f t="array" aca="1" ref="D56" ca="1">INDIRECT($F56&amp;D$51&amp;"!"&amp;$G56)</f>
        <v>I.S. EN 14825</v>
      </c>
      <c r="E56" s="358" t="str">
        <f t="shared" ca="1" si="2"/>
        <v>I.S. EN 14825</v>
      </c>
      <c r="F56" s="359" t="str">
        <f t="shared" ca="1" si="3"/>
        <v>HP_</v>
      </c>
      <c r="G56" s="359" t="str">
        <f t="shared" ca="1" si="4"/>
        <v>B14</v>
      </c>
      <c r="H56" s="360" t="str">
        <f t="shared" ca="1" si="5"/>
        <v>HP_1!B14</v>
      </c>
      <c r="L56" s="97"/>
      <c r="AC56" s="97"/>
    </row>
    <row r="57" spans="1:29" ht="53.45" customHeight="1">
      <c r="A57" s="316" t="str">
        <f>HP_1!O10</f>
        <v>Space Heating served by HP</v>
      </c>
      <c r="B57" s="370" t="b">
        <f>HP_1!N10</f>
        <v>1</v>
      </c>
      <c r="C57" s="371" t="b" cm="1">
        <f t="array" aca="1" ref="C57" ca="1">INDIRECT($F57&amp;C$51&amp;"!"&amp;$G57)</f>
        <v>0</v>
      </c>
      <c r="D57" s="371" t="b" cm="1">
        <f t="array" aca="1" ref="D57" ca="1">INDIRECT($F57&amp;D$51&amp;"!"&amp;$G57)</f>
        <v>0</v>
      </c>
      <c r="E57" s="372" t="b">
        <f t="shared" ca="1" si="2"/>
        <v>0</v>
      </c>
      <c r="F57" s="373" t="str">
        <f ca="1">LEFT(H57,FIND("1",H57)-1)</f>
        <v>HP_</v>
      </c>
      <c r="G57" s="373" t="str">
        <f ca="1">RIGHT(H57,LEN(H57)-FIND("!",H57))</f>
        <v>N10</v>
      </c>
      <c r="H57" s="374" t="str">
        <f ca="1">SUBSTITUTE( _xlfn.FORMULATEXT(B57),"=","")</f>
        <v>HP_1!N10</v>
      </c>
    </row>
    <row r="58" spans="1:29" ht="72" customHeight="1">
      <c r="A58" s="316" t="str">
        <f>HP_1!O11</f>
        <v>Hot Water served by HP</v>
      </c>
      <c r="B58" s="370" t="b">
        <f>HP_1!N11</f>
        <v>1</v>
      </c>
      <c r="C58" s="371" t="b" cm="1">
        <f t="array" aca="1" ref="C58" ca="1">INDIRECT($F58&amp;C$51&amp;"!"&amp;$G58)</f>
        <v>0</v>
      </c>
      <c r="D58" s="371" t="b" cm="1">
        <f t="array" aca="1" ref="D58" ca="1">INDIRECT($F58&amp;D$51&amp;"!"&amp;$G58)</f>
        <v>0</v>
      </c>
      <c r="E58" s="372" t="b">
        <f t="shared" ca="1" si="2"/>
        <v>0</v>
      </c>
      <c r="F58" s="373" t="str">
        <f t="shared" ref="F58:F60" ca="1" si="6">LEFT(H58,FIND("1",H58)-1)</f>
        <v>HP_</v>
      </c>
      <c r="G58" s="373" t="str">
        <f t="shared" ref="G58:G60" ca="1" si="7">RIGHT(H58,LEN(H58)-FIND("!",H58))</f>
        <v>N11</v>
      </c>
      <c r="H58" s="374" t="str">
        <f t="shared" ref="H58:H60" ca="1" si="8">SUBSTITUTE( _xlfn.FORMULATEXT(B58),"=","")</f>
        <v>HP_1!N11</v>
      </c>
    </row>
    <row r="59" spans="1:29" ht="65.45" customHeight="1">
      <c r="A59" s="316" t="str">
        <f>HP_1!O12</f>
        <v>Same HP for Space and Water Heating</v>
      </c>
      <c r="B59" s="370" t="b">
        <f>HP_1!N12</f>
        <v>1</v>
      </c>
      <c r="C59" s="371" t="b" cm="1">
        <f t="array" aca="1" ref="C59" ca="1">INDIRECT($F59&amp;C$51&amp;"!"&amp;$G59)</f>
        <v>0</v>
      </c>
      <c r="D59" s="371" t="b" cm="1">
        <f t="array" aca="1" ref="D59" ca="1">INDIRECT($F59&amp;D$51&amp;"!"&amp;$G59)</f>
        <v>0</v>
      </c>
      <c r="E59" s="372" t="b">
        <f t="shared" ca="1" si="2"/>
        <v>0</v>
      </c>
      <c r="F59" s="373" t="str">
        <f t="shared" ca="1" si="6"/>
        <v>HP_</v>
      </c>
      <c r="G59" s="373" t="str">
        <f t="shared" ca="1" si="7"/>
        <v>N12</v>
      </c>
      <c r="H59" s="374" t="str">
        <f t="shared" ca="1" si="8"/>
        <v>HP_1!N12</v>
      </c>
    </row>
    <row r="60" spans="1:29" ht="24" customHeight="1">
      <c r="A60" s="316" t="str">
        <f>HP_1!A68</f>
        <v>Water Heating Test Standard</v>
      </c>
      <c r="B60" s="356" t="str">
        <f>HP_1!B68</f>
        <v>I.S. EN 16147</v>
      </c>
      <c r="C60" s="357" t="str" cm="1">
        <f t="array" aca="1" ref="C60" ca="1">INDIRECT($F60&amp;C$51&amp;"!"&amp;$G60)</f>
        <v>I.S. EN 16147</v>
      </c>
      <c r="D60" s="357" t="str" cm="1">
        <f t="array" aca="1" ref="D60" ca="1">INDIRECT($F60&amp;D$51&amp;"!"&amp;$G60)</f>
        <v>I.S. EN 16147</v>
      </c>
      <c r="E60" s="358" t="str">
        <f t="shared" ca="1" si="2"/>
        <v>I.S. EN 16147</v>
      </c>
      <c r="F60" s="359" t="str">
        <f t="shared" ca="1" si="6"/>
        <v>HP_</v>
      </c>
      <c r="G60" s="359" t="str">
        <f t="shared" ca="1" si="7"/>
        <v>B68</v>
      </c>
      <c r="H60" s="360" t="str">
        <f t="shared" ca="1" si="8"/>
        <v>HP_1!B68</v>
      </c>
    </row>
  </sheetData>
  <sheetProtection algorithmName="SHA-512" hashValue="8rESQbQOxypfMppaWd/kt5M0qWWlXzyoM/kAc9iTRpwWsp1Jg0Xk7BcWMh8RYB/Psb6JEtOquCCgQamjCHOzqA==" saltValue="+Gp0wrbrX2dmZfQ3MZOUOA==" spinCount="100000" sheet="1" objects="1" scenarios="1"/>
  <autoFilter ref="A2:K34" xr:uid="{3A978C5E-8AA7-4C8C-8395-C11E814AEE32}"/>
  <mergeCells count="3">
    <mergeCell ref="A1:D1"/>
    <mergeCell ref="F1:I1"/>
    <mergeCell ref="F31:J31"/>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BD8840E-3A68-40FA-B8F5-973491EF7197}">
          <x14:formula1>
            <xm:f>HP_1!$N$1:$N$7</xm:f>
          </x14:formula1>
          <xm:sqref>F3:I30</xm:sqref>
        </x14:dataValidation>
        <x14:dataValidation type="list" allowBlank="1" showInputMessage="1" showErrorMessage="1" xr:uid="{CD881FA2-CD51-4EFC-AFDC-2F904228BD45}">
          <x14:formula1>
            <xm:f>HP_1!$T$2:$T$3</xm:f>
          </x14:formula1>
          <xm:sqref>E3:E30</xm:sqref>
        </x14:dataValidation>
        <x14:dataValidation type="list" allowBlank="1" showInputMessage="1" showErrorMessage="1" xr:uid="{A9573F36-ADDA-41D6-8F44-BAC35B99D5B0}">
          <x14:formula1>
            <xm:f>HP_1!$R$1:$R$2</xm:f>
          </x14:formula1>
          <xm:sqref>D3:D30</xm:sqref>
        </x14:dataValidation>
        <x14:dataValidation type="list" allowBlank="1" showInputMessage="1" showErrorMessage="1" xr:uid="{ED668CB9-951E-49BE-BCA2-1C2CA7B637C6}">
          <x14:formula1>
            <xm:f>HP_1!$Q$2:$Q$3</xm:f>
          </x14:formula1>
          <xm:sqref>C3:C30</xm:sqref>
        </x14:dataValidation>
        <x14:dataValidation type="list" allowBlank="1" showInputMessage="1" showErrorMessage="1" xr:uid="{9F9D23FF-F3F8-4E17-8CDC-17B39F9B7319}">
          <x14:formula1>
            <xm:f>HP_1!$S$1:$S$9</xm:f>
          </x14:formula1>
          <xm:sqref>B3:B30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818D8-A8F2-4EAC-909A-8191A2C60C08}">
  <dimension ref="A1:AC60"/>
  <sheetViews>
    <sheetView zoomScale="55" zoomScaleNormal="55" workbookViewId="0">
      <selection activeCell="M17" sqref="M17"/>
    </sheetView>
  </sheetViews>
  <sheetFormatPr defaultColWidth="8.85546875" defaultRowHeight="24" customHeight="1"/>
  <cols>
    <col min="1" max="1" width="12.28515625" style="229" customWidth="1"/>
    <col min="2" max="2" width="25.7109375" style="229" bestFit="1" customWidth="1"/>
    <col min="3" max="3" width="18.5703125" style="229" bestFit="1" customWidth="1"/>
    <col min="4" max="4" width="29.140625" style="229" bestFit="1" customWidth="1"/>
    <col min="5" max="5" width="48.7109375" style="229" customWidth="1"/>
    <col min="6" max="7" width="12.28515625" style="229" bestFit="1" customWidth="1"/>
    <col min="8" max="8" width="12.28515625" style="229" customWidth="1"/>
    <col min="9" max="9" width="14.140625" style="229" bestFit="1" customWidth="1"/>
    <col min="10" max="10" width="8.85546875" style="238"/>
    <col min="11" max="11" width="21.7109375" style="268" customWidth="1"/>
    <col min="12" max="16384" width="8.85546875" style="229"/>
  </cols>
  <sheetData>
    <row r="1" spans="1:14" ht="105.6" customHeight="1" thickBot="1">
      <c r="A1" s="784" t="s">
        <v>473</v>
      </c>
      <c r="B1" s="785"/>
      <c r="C1" s="785"/>
      <c r="D1" s="785"/>
      <c r="E1" s="228" t="str">
        <f ca="1">"Diagnostics cell: 
"&amp;E52&amp;"
"
&amp;E54&amp;"
"&amp;E53&amp;"
"&amp;E55&amp;"
"&amp;E56</f>
        <v>Diagnostics cell: 
Air to Water
Electricity
Not low temperature heat pump
Ecodesign applies and/or ecodesign data available
I.S. EN 14825</v>
      </c>
      <c r="F1" s="786" t="s">
        <v>465</v>
      </c>
      <c r="G1" s="787"/>
      <c r="H1" s="788"/>
      <c r="I1" s="789"/>
      <c r="K1" s="267" t="s">
        <v>467</v>
      </c>
      <c r="M1" s="363" t="s">
        <v>509</v>
      </c>
      <c r="N1" s="293">
        <v>3</v>
      </c>
    </row>
    <row r="2" spans="1:14" s="238" customFormat="1" ht="37.9" customHeight="1" thickBot="1">
      <c r="A2" s="231" t="s">
        <v>469</v>
      </c>
      <c r="B2" s="232" t="s">
        <v>107</v>
      </c>
      <c r="C2" s="233" t="s">
        <v>470</v>
      </c>
      <c r="D2" s="233" t="s">
        <v>471</v>
      </c>
      <c r="E2" s="234" t="s">
        <v>472</v>
      </c>
      <c r="F2" s="235" t="s">
        <v>54</v>
      </c>
      <c r="G2" s="236" t="s">
        <v>62</v>
      </c>
      <c r="H2" s="266" t="s">
        <v>484</v>
      </c>
      <c r="I2" s="237" t="s">
        <v>393</v>
      </c>
      <c r="K2" s="268"/>
    </row>
    <row r="3" spans="1:14" ht="24" customHeight="1">
      <c r="A3" s="240">
        <f ca="1">IF(AND($E$52=B3,$E$54=C3,$E$53=D3,$E$55=E3 ),1,"")</f>
        <v>1</v>
      </c>
      <c r="B3" s="241" t="s">
        <v>55</v>
      </c>
      <c r="C3" s="242" t="s">
        <v>44</v>
      </c>
      <c r="D3" s="242" t="s">
        <v>383</v>
      </c>
      <c r="E3" s="243" t="s">
        <v>385</v>
      </c>
      <c r="F3" s="244" t="s">
        <v>54</v>
      </c>
      <c r="G3" s="245"/>
      <c r="H3" s="263"/>
      <c r="I3" s="246"/>
      <c r="K3" s="269" t="str">
        <f>F3&amp;CHAR(10)&amp;G3&amp;CHAR(10)&amp;H3&amp;CHAR(10)&amp;I3</f>
        <v xml:space="preserve">I.S. EN 14825
</v>
      </c>
    </row>
    <row r="4" spans="1:14" ht="24" customHeight="1">
      <c r="A4" s="240" t="str">
        <f t="shared" ref="A4:A30" ca="1" si="0">IF(AND($E$52=B4,$E$54=C4,$E$53=D4,$E$55=E4 ),1,"")</f>
        <v/>
      </c>
      <c r="B4" s="241" t="s">
        <v>55</v>
      </c>
      <c r="C4" s="242" t="s">
        <v>44</v>
      </c>
      <c r="D4" s="242" t="s">
        <v>387</v>
      </c>
      <c r="E4" s="243" t="s">
        <v>385</v>
      </c>
      <c r="F4" s="247" t="s">
        <v>54</v>
      </c>
      <c r="G4" s="248"/>
      <c r="H4" s="264"/>
      <c r="I4" s="249"/>
      <c r="K4" s="269" t="str">
        <f t="shared" ref="K4:K30" si="1">F4&amp;CHAR(10)&amp;G4&amp;CHAR(10)&amp;H4&amp;CHAR(10)&amp;I4</f>
        <v xml:space="preserve">I.S. EN 14825
</v>
      </c>
    </row>
    <row r="5" spans="1:14" ht="24" customHeight="1">
      <c r="A5" s="240" t="str">
        <f t="shared" ca="1" si="0"/>
        <v/>
      </c>
      <c r="B5" s="241" t="s">
        <v>63</v>
      </c>
      <c r="C5" s="242" t="s">
        <v>44</v>
      </c>
      <c r="D5" s="242" t="s">
        <v>383</v>
      </c>
      <c r="E5" s="243" t="s">
        <v>385</v>
      </c>
      <c r="F5" s="247" t="s">
        <v>54</v>
      </c>
      <c r="G5" s="248"/>
      <c r="H5" s="264"/>
      <c r="I5" s="249"/>
      <c r="K5" s="269" t="str">
        <f t="shared" si="1"/>
        <v xml:space="preserve">I.S. EN 14825
</v>
      </c>
    </row>
    <row r="6" spans="1:14" ht="24" customHeight="1">
      <c r="A6" s="240" t="str">
        <f t="shared" ca="1" si="0"/>
        <v/>
      </c>
      <c r="B6" s="241" t="s">
        <v>63</v>
      </c>
      <c r="C6" s="242" t="s">
        <v>44</v>
      </c>
      <c r="D6" s="242" t="s">
        <v>387</v>
      </c>
      <c r="E6" s="243" t="s">
        <v>385</v>
      </c>
      <c r="F6" s="247" t="s">
        <v>54</v>
      </c>
      <c r="G6" s="248"/>
      <c r="H6" s="264"/>
      <c r="I6" s="249"/>
      <c r="K6" s="269" t="str">
        <f t="shared" si="1"/>
        <v xml:space="preserve">I.S. EN 14825
</v>
      </c>
    </row>
    <row r="7" spans="1:14" ht="24" customHeight="1">
      <c r="A7" s="240" t="str">
        <f t="shared" ca="1" si="0"/>
        <v/>
      </c>
      <c r="B7" s="241" t="s">
        <v>73</v>
      </c>
      <c r="C7" s="242" t="s">
        <v>44</v>
      </c>
      <c r="D7" s="242" t="s">
        <v>383</v>
      </c>
      <c r="E7" s="243" t="s">
        <v>385</v>
      </c>
      <c r="F7" s="247" t="s">
        <v>54</v>
      </c>
      <c r="G7" s="248"/>
      <c r="H7" s="264"/>
      <c r="I7" s="249"/>
      <c r="K7" s="269" t="str">
        <f t="shared" si="1"/>
        <v xml:space="preserve">I.S. EN 14825
</v>
      </c>
    </row>
    <row r="8" spans="1:14" ht="24" customHeight="1">
      <c r="A8" s="240" t="str">
        <f t="shared" ca="1" si="0"/>
        <v/>
      </c>
      <c r="B8" s="241" t="s">
        <v>73</v>
      </c>
      <c r="C8" s="242" t="s">
        <v>44</v>
      </c>
      <c r="D8" s="242" t="s">
        <v>387</v>
      </c>
      <c r="E8" s="243" t="s">
        <v>385</v>
      </c>
      <c r="F8" s="247" t="s">
        <v>54</v>
      </c>
      <c r="G8" s="248"/>
      <c r="H8" s="264"/>
      <c r="I8" s="249"/>
      <c r="K8" s="269" t="str">
        <f t="shared" si="1"/>
        <v xml:space="preserve">I.S. EN 14825
</v>
      </c>
    </row>
    <row r="9" spans="1:14" ht="24" customHeight="1">
      <c r="A9" s="240" t="str">
        <f t="shared" ca="1" si="0"/>
        <v/>
      </c>
      <c r="B9" s="241" t="s">
        <v>82</v>
      </c>
      <c r="C9" s="242" t="s">
        <v>44</v>
      </c>
      <c r="D9" s="242" t="s">
        <v>383</v>
      </c>
      <c r="E9" s="243" t="s">
        <v>385</v>
      </c>
      <c r="F9" s="247" t="s">
        <v>54</v>
      </c>
      <c r="G9" s="248"/>
      <c r="H9" s="264"/>
      <c r="I9" s="249"/>
      <c r="K9" s="269" t="str">
        <f t="shared" si="1"/>
        <v xml:space="preserve">I.S. EN 14825
</v>
      </c>
    </row>
    <row r="10" spans="1:14" ht="24" customHeight="1">
      <c r="A10" s="240" t="str">
        <f t="shared" ca="1" si="0"/>
        <v/>
      </c>
      <c r="B10" s="241" t="s">
        <v>82</v>
      </c>
      <c r="C10" s="242" t="s">
        <v>44</v>
      </c>
      <c r="D10" s="242" t="s">
        <v>387</v>
      </c>
      <c r="E10" s="243" t="s">
        <v>385</v>
      </c>
      <c r="F10" s="247" t="s">
        <v>54</v>
      </c>
      <c r="G10" s="248"/>
      <c r="H10" s="264"/>
      <c r="I10" s="249"/>
      <c r="K10" s="269" t="str">
        <f t="shared" si="1"/>
        <v xml:space="preserve">I.S. EN 14825
</v>
      </c>
    </row>
    <row r="11" spans="1:14" ht="24" customHeight="1">
      <c r="A11" s="240" t="str">
        <f t="shared" ca="1" si="0"/>
        <v/>
      </c>
      <c r="B11" s="241" t="s">
        <v>392</v>
      </c>
      <c r="C11" s="242" t="s">
        <v>44</v>
      </c>
      <c r="D11" s="242" t="s">
        <v>383</v>
      </c>
      <c r="E11" s="243" t="s">
        <v>385</v>
      </c>
      <c r="F11" s="247" t="s">
        <v>54</v>
      </c>
      <c r="G11" s="248"/>
      <c r="H11" s="264"/>
      <c r="I11" s="249"/>
      <c r="K11" s="269" t="str">
        <f t="shared" si="1"/>
        <v xml:space="preserve">I.S. EN 14825
</v>
      </c>
    </row>
    <row r="12" spans="1:14" ht="24" customHeight="1">
      <c r="A12" s="240" t="str">
        <f t="shared" ca="1" si="0"/>
        <v/>
      </c>
      <c r="B12" s="241" t="s">
        <v>392</v>
      </c>
      <c r="C12" s="242" t="s">
        <v>44</v>
      </c>
      <c r="D12" s="242" t="s">
        <v>387</v>
      </c>
      <c r="E12" s="243" t="s">
        <v>385</v>
      </c>
      <c r="F12" s="247" t="s">
        <v>54</v>
      </c>
      <c r="G12" s="248"/>
      <c r="H12" s="264"/>
      <c r="I12" s="249"/>
      <c r="K12" s="269" t="str">
        <f t="shared" si="1"/>
        <v xml:space="preserve">I.S. EN 14825
</v>
      </c>
    </row>
    <row r="13" spans="1:14" ht="24" customHeight="1">
      <c r="A13" s="240" t="str">
        <f t="shared" ca="1" si="0"/>
        <v/>
      </c>
      <c r="B13" s="241" t="s">
        <v>88</v>
      </c>
      <c r="C13" s="242" t="s">
        <v>44</v>
      </c>
      <c r="D13" s="242" t="s">
        <v>383</v>
      </c>
      <c r="E13" s="243" t="s">
        <v>385</v>
      </c>
      <c r="F13" s="247" t="s">
        <v>54</v>
      </c>
      <c r="G13" s="248"/>
      <c r="H13" s="264"/>
      <c r="I13" s="249"/>
      <c r="K13" s="269" t="str">
        <f t="shared" si="1"/>
        <v xml:space="preserve">I.S. EN 14825
</v>
      </c>
    </row>
    <row r="14" spans="1:14" ht="24" customHeight="1">
      <c r="A14" s="240" t="str">
        <f t="shared" ca="1" si="0"/>
        <v/>
      </c>
      <c r="B14" s="241" t="s">
        <v>93</v>
      </c>
      <c r="C14" s="242" t="s">
        <v>44</v>
      </c>
      <c r="D14" s="242" t="s">
        <v>383</v>
      </c>
      <c r="E14" s="243" t="s">
        <v>385</v>
      </c>
      <c r="F14" s="247" t="s">
        <v>54</v>
      </c>
      <c r="G14" s="248"/>
      <c r="H14" s="264"/>
      <c r="I14" s="249"/>
      <c r="K14" s="269" t="str">
        <f t="shared" si="1"/>
        <v xml:space="preserve">I.S. EN 14825
</v>
      </c>
    </row>
    <row r="15" spans="1:14" ht="24" customHeight="1">
      <c r="A15" s="240" t="str">
        <f t="shared" ca="1" si="0"/>
        <v/>
      </c>
      <c r="B15" s="241" t="s">
        <v>96</v>
      </c>
      <c r="C15" s="242" t="s">
        <v>44</v>
      </c>
      <c r="D15" s="242" t="s">
        <v>383</v>
      </c>
      <c r="E15" s="243" t="s">
        <v>385</v>
      </c>
      <c r="F15" s="247" t="s">
        <v>54</v>
      </c>
      <c r="G15" s="248"/>
      <c r="H15" s="264"/>
      <c r="I15" s="249"/>
      <c r="K15" s="269" t="str">
        <f t="shared" si="1"/>
        <v xml:space="preserve">I.S. EN 14825
</v>
      </c>
    </row>
    <row r="16" spans="1:14" ht="36.6" customHeight="1">
      <c r="A16" s="240" t="str">
        <f t="shared" ca="1" si="0"/>
        <v/>
      </c>
      <c r="B16" s="241" t="s">
        <v>55</v>
      </c>
      <c r="C16" s="242" t="s">
        <v>388</v>
      </c>
      <c r="D16" s="242" t="s">
        <v>383</v>
      </c>
      <c r="E16" s="243" t="s">
        <v>385</v>
      </c>
      <c r="F16" s="247"/>
      <c r="G16" s="248"/>
      <c r="H16" s="264"/>
      <c r="I16" s="249" t="s">
        <v>393</v>
      </c>
      <c r="K16" s="269" t="str">
        <f t="shared" si="1"/>
        <v xml:space="preserve">
I.S. EN 12309-6</v>
      </c>
    </row>
    <row r="17" spans="1:12" ht="33">
      <c r="A17" s="240" t="str">
        <f t="shared" ca="1" si="0"/>
        <v/>
      </c>
      <c r="B17" s="241" t="s">
        <v>55</v>
      </c>
      <c r="C17" s="242" t="s">
        <v>388</v>
      </c>
      <c r="D17" s="242" t="s">
        <v>387</v>
      </c>
      <c r="E17" s="243" t="s">
        <v>385</v>
      </c>
      <c r="F17" s="247"/>
      <c r="G17" s="248"/>
      <c r="H17" s="264"/>
      <c r="I17" s="249" t="s">
        <v>393</v>
      </c>
      <c r="K17" s="269" t="str">
        <f t="shared" si="1"/>
        <v xml:space="preserve">
I.S. EN 12309-6</v>
      </c>
    </row>
    <row r="18" spans="1:12" ht="33">
      <c r="A18" s="240" t="str">
        <f t="shared" ca="1" si="0"/>
        <v/>
      </c>
      <c r="B18" s="241" t="s">
        <v>63</v>
      </c>
      <c r="C18" s="242" t="s">
        <v>388</v>
      </c>
      <c r="D18" s="242" t="s">
        <v>383</v>
      </c>
      <c r="E18" s="243" t="s">
        <v>385</v>
      </c>
      <c r="F18" s="247"/>
      <c r="G18" s="248"/>
      <c r="H18" s="264"/>
      <c r="I18" s="249" t="s">
        <v>393</v>
      </c>
      <c r="K18" s="269" t="str">
        <f t="shared" si="1"/>
        <v xml:space="preserve">
I.S. EN 12309-6</v>
      </c>
    </row>
    <row r="19" spans="1:12" ht="33">
      <c r="A19" s="240" t="str">
        <f t="shared" ca="1" si="0"/>
        <v/>
      </c>
      <c r="B19" s="241" t="s">
        <v>63</v>
      </c>
      <c r="C19" s="242" t="s">
        <v>388</v>
      </c>
      <c r="D19" s="242" t="s">
        <v>387</v>
      </c>
      <c r="E19" s="243" t="s">
        <v>385</v>
      </c>
      <c r="F19" s="247"/>
      <c r="G19" s="248"/>
      <c r="H19" s="264"/>
      <c r="I19" s="249" t="s">
        <v>393</v>
      </c>
      <c r="K19" s="269" t="str">
        <f t="shared" si="1"/>
        <v xml:space="preserve">
I.S. EN 12309-6</v>
      </c>
    </row>
    <row r="20" spans="1:12" ht="33">
      <c r="A20" s="240" t="str">
        <f t="shared" ca="1" si="0"/>
        <v/>
      </c>
      <c r="B20" s="241" t="s">
        <v>73</v>
      </c>
      <c r="C20" s="242" t="s">
        <v>388</v>
      </c>
      <c r="D20" s="242" t="s">
        <v>383</v>
      </c>
      <c r="E20" s="243" t="s">
        <v>385</v>
      </c>
      <c r="F20" s="247"/>
      <c r="G20" s="248"/>
      <c r="H20" s="264"/>
      <c r="I20" s="249" t="s">
        <v>393</v>
      </c>
      <c r="K20" s="269" t="str">
        <f t="shared" si="1"/>
        <v xml:space="preserve">
I.S. EN 12309-6</v>
      </c>
    </row>
    <row r="21" spans="1:12" ht="33.75" thickBot="1">
      <c r="A21" s="240" t="str">
        <f t="shared" ca="1" si="0"/>
        <v/>
      </c>
      <c r="B21" s="241" t="s">
        <v>73</v>
      </c>
      <c r="C21" s="242" t="s">
        <v>388</v>
      </c>
      <c r="D21" s="242" t="s">
        <v>387</v>
      </c>
      <c r="E21" s="243" t="s">
        <v>385</v>
      </c>
      <c r="F21" s="250"/>
      <c r="G21" s="251"/>
      <c r="H21" s="265"/>
      <c r="I21" s="252" t="s">
        <v>393</v>
      </c>
      <c r="K21" s="269" t="str">
        <f t="shared" si="1"/>
        <v xml:space="preserve">
I.S. EN 12309-6</v>
      </c>
    </row>
    <row r="22" spans="1:12" ht="33">
      <c r="A22" s="240" t="str">
        <f t="shared" ca="1" si="0"/>
        <v/>
      </c>
      <c r="B22" s="241" t="s">
        <v>55</v>
      </c>
      <c r="C22" s="242" t="s">
        <v>44</v>
      </c>
      <c r="D22" s="242" t="s">
        <v>383</v>
      </c>
      <c r="E22" s="243" t="s">
        <v>391</v>
      </c>
      <c r="F22" s="244"/>
      <c r="G22" s="245" t="s">
        <v>62</v>
      </c>
      <c r="H22" s="263"/>
      <c r="I22" s="246"/>
      <c r="K22" s="269" t="str">
        <f t="shared" si="1"/>
        <v xml:space="preserve">
I.S. EN 14511
</v>
      </c>
    </row>
    <row r="23" spans="1:12" ht="33">
      <c r="A23" s="240" t="str">
        <f t="shared" ca="1" si="0"/>
        <v/>
      </c>
      <c r="B23" s="241" t="s">
        <v>63</v>
      </c>
      <c r="C23" s="242" t="s">
        <v>44</v>
      </c>
      <c r="D23" s="242" t="s">
        <v>383</v>
      </c>
      <c r="E23" s="243" t="s">
        <v>391</v>
      </c>
      <c r="F23" s="247"/>
      <c r="G23" s="248" t="s">
        <v>62</v>
      </c>
      <c r="H23" s="264"/>
      <c r="I23" s="249"/>
      <c r="K23" s="269" t="str">
        <f t="shared" si="1"/>
        <v xml:space="preserve">
I.S. EN 14511
</v>
      </c>
    </row>
    <row r="24" spans="1:12" ht="24" customHeight="1">
      <c r="A24" s="240" t="str">
        <f t="shared" ca="1" si="0"/>
        <v/>
      </c>
      <c r="B24" s="241" t="s">
        <v>73</v>
      </c>
      <c r="C24" s="242" t="s">
        <v>44</v>
      </c>
      <c r="D24" s="242" t="s">
        <v>383</v>
      </c>
      <c r="E24" s="243" t="s">
        <v>391</v>
      </c>
      <c r="F24" s="247"/>
      <c r="G24" s="248" t="s">
        <v>62</v>
      </c>
      <c r="H24" s="264"/>
      <c r="I24" s="249"/>
      <c r="K24" s="269" t="str">
        <f t="shared" si="1"/>
        <v xml:space="preserve">
I.S. EN 14511
</v>
      </c>
    </row>
    <row r="25" spans="1:12" ht="24" customHeight="1">
      <c r="A25" s="240" t="str">
        <f t="shared" ca="1" si="0"/>
        <v/>
      </c>
      <c r="B25" s="241" t="s">
        <v>82</v>
      </c>
      <c r="C25" s="242" t="s">
        <v>44</v>
      </c>
      <c r="D25" s="242" t="s">
        <v>383</v>
      </c>
      <c r="E25" s="243" t="s">
        <v>391</v>
      </c>
      <c r="F25" s="247"/>
      <c r="G25" s="248" t="s">
        <v>62</v>
      </c>
      <c r="H25" s="264"/>
      <c r="I25" s="249"/>
      <c r="K25" s="269" t="str">
        <f t="shared" si="1"/>
        <v xml:space="preserve">
I.S. EN 14511
</v>
      </c>
    </row>
    <row r="26" spans="1:12" ht="24" customHeight="1">
      <c r="A26" s="240" t="str">
        <f t="shared" ca="1" si="0"/>
        <v/>
      </c>
      <c r="B26" s="241" t="s">
        <v>392</v>
      </c>
      <c r="C26" s="242" t="s">
        <v>44</v>
      </c>
      <c r="D26" s="242" t="s">
        <v>383</v>
      </c>
      <c r="E26" s="243" t="s">
        <v>391</v>
      </c>
      <c r="F26" s="247"/>
      <c r="G26" s="248" t="s">
        <v>62</v>
      </c>
      <c r="H26" s="264"/>
      <c r="I26" s="249"/>
      <c r="K26" s="269" t="str">
        <f t="shared" si="1"/>
        <v xml:space="preserve">
I.S. EN 14511
</v>
      </c>
    </row>
    <row r="27" spans="1:12" ht="33">
      <c r="A27" s="240" t="str">
        <f t="shared" ca="1" si="0"/>
        <v/>
      </c>
      <c r="B27" s="241" t="s">
        <v>88</v>
      </c>
      <c r="C27" s="242" t="s">
        <v>44</v>
      </c>
      <c r="D27" s="242" t="s">
        <v>383</v>
      </c>
      <c r="E27" s="243" t="s">
        <v>391</v>
      </c>
      <c r="F27" s="247"/>
      <c r="G27" s="248" t="s">
        <v>62</v>
      </c>
      <c r="H27" s="264" t="s">
        <v>484</v>
      </c>
      <c r="I27" s="249"/>
      <c r="K27" s="269" t="str">
        <f t="shared" si="1"/>
        <v xml:space="preserve">
I.S. EN 14511
I.S. EN 13141
</v>
      </c>
    </row>
    <row r="28" spans="1:12" ht="33">
      <c r="A28" s="240" t="str">
        <f t="shared" ca="1" si="0"/>
        <v/>
      </c>
      <c r="B28" s="241" t="s">
        <v>93</v>
      </c>
      <c r="C28" s="242" t="s">
        <v>44</v>
      </c>
      <c r="D28" s="242" t="s">
        <v>383</v>
      </c>
      <c r="E28" s="243" t="s">
        <v>391</v>
      </c>
      <c r="F28" s="247"/>
      <c r="G28" s="248" t="s">
        <v>62</v>
      </c>
      <c r="H28" s="264"/>
      <c r="I28" s="249"/>
      <c r="K28" s="269" t="str">
        <f t="shared" si="1"/>
        <v xml:space="preserve">
I.S. EN 14511
</v>
      </c>
    </row>
    <row r="29" spans="1:12" ht="33">
      <c r="A29" s="240" t="str">
        <f t="shared" ca="1" si="0"/>
        <v/>
      </c>
      <c r="B29" s="241" t="s">
        <v>96</v>
      </c>
      <c r="C29" s="242" t="s">
        <v>44</v>
      </c>
      <c r="D29" s="242" t="s">
        <v>383</v>
      </c>
      <c r="E29" s="243" t="s">
        <v>391</v>
      </c>
      <c r="F29" s="247"/>
      <c r="G29" s="248" t="s">
        <v>62</v>
      </c>
      <c r="H29" s="264"/>
      <c r="I29" s="249"/>
      <c r="K29" s="269" t="str">
        <f t="shared" si="1"/>
        <v xml:space="preserve">
I.S. EN 14511
</v>
      </c>
    </row>
    <row r="30" spans="1:12" ht="41.45" customHeight="1" thickBot="1">
      <c r="A30" s="366" t="str">
        <f t="shared" ca="1" si="0"/>
        <v/>
      </c>
      <c r="B30" s="367" t="s">
        <v>480</v>
      </c>
      <c r="C30" s="368" t="s">
        <v>44</v>
      </c>
      <c r="D30" s="368" t="s">
        <v>383</v>
      </c>
      <c r="E30" s="369" t="s">
        <v>391</v>
      </c>
      <c r="F30" s="250"/>
      <c r="G30" s="251"/>
      <c r="H30" s="265" t="s">
        <v>484</v>
      </c>
      <c r="I30" s="252"/>
      <c r="K30" s="269" t="str">
        <f t="shared" si="1"/>
        <v xml:space="preserve">
I.S. EN 13141
</v>
      </c>
    </row>
    <row r="31" spans="1:12" ht="63.6" customHeight="1">
      <c r="A31" s="375" t="str">
        <f ca="1">IF(A32&lt;&gt;"",A32,IF(A33&lt;&gt;"",A33,A34))</f>
        <v>Valid space heat pump type selected.</v>
      </c>
      <c r="B31" s="365" t="str">
        <f ca="1">VLOOKUP(1,$A$3:$P$30,2,FALSE)</f>
        <v>Air to Water</v>
      </c>
      <c r="C31" s="365" t="str">
        <f ca="1">VLOOKUP(1,$A$3:$P$30,3,FALSE)</f>
        <v>Electricity</v>
      </c>
      <c r="D31" s="365" t="str">
        <f ca="1">VLOOKUP(1,$A$3:$P$30,4,FALSE)</f>
        <v>Not low temperature heat pump</v>
      </c>
      <c r="E31" s="365" t="str">
        <f ca="1">VLOOKUP(1,$A$3:$P$30,5,FALSE)</f>
        <v>Ecodesign applies and/or ecodesign data available</v>
      </c>
      <c r="F31" s="790" t="s">
        <v>569</v>
      </c>
      <c r="G31" s="790"/>
      <c r="H31" s="790"/>
      <c r="I31" s="790"/>
      <c r="J31" s="791"/>
      <c r="K31" s="364" t="str">
        <f ca="1">VLOOKUP(1,$A$3:$P$30,11,FALSE)</f>
        <v xml:space="preserve">I.S. EN 14825
</v>
      </c>
      <c r="L31" s="354"/>
    </row>
    <row r="32" spans="1:12" ht="24" customHeight="1">
      <c r="A32" s="253" t="str">
        <f ca="1">IF(AND(E53="Low temperature heat pump",E59=TRUE,E60&lt;&gt;"I.S. EN 14825/14511"),"ERROR: Low temperature heat pump cannot provide hot water.","")</f>
        <v/>
      </c>
      <c r="B32" s="254"/>
      <c r="C32" s="254"/>
      <c r="D32" s="254"/>
      <c r="E32" s="254"/>
      <c r="F32" s="254"/>
      <c r="G32" s="254"/>
      <c r="H32" s="254"/>
    </row>
    <row r="33" spans="1:8" ht="24" customHeight="1">
      <c r="A33" s="253" t="str">
        <f ca="1">IF(SUM(A3:A30)&lt;&gt;1,"ERROR: Invalid space heat pump type selected. See allowable options in 'Space standards ID' tab","")</f>
        <v/>
      </c>
      <c r="B33" s="254"/>
      <c r="C33" s="254"/>
      <c r="D33" s="254"/>
      <c r="E33" s="254"/>
      <c r="F33" s="254"/>
      <c r="G33" s="254"/>
      <c r="H33" s="254"/>
    </row>
    <row r="34" spans="1:8" ht="24" customHeight="1">
      <c r="A34" s="255" t="s">
        <v>476</v>
      </c>
    </row>
    <row r="35" spans="1:8" ht="24" customHeight="1">
      <c r="A35" s="253"/>
    </row>
    <row r="36" spans="1:8" ht="24" customHeight="1">
      <c r="A36" s="253"/>
    </row>
    <row r="37" spans="1:8" ht="15"/>
    <row r="38" spans="1:8" ht="15"/>
    <row r="39" spans="1:8" ht="15"/>
    <row r="40" spans="1:8" ht="15"/>
    <row r="41" spans="1:8" ht="15"/>
    <row r="42" spans="1:8" ht="15"/>
    <row r="43" spans="1:8" ht="15"/>
    <row r="44" spans="1:8" ht="15"/>
    <row r="45" spans="1:8" ht="15"/>
    <row r="46" spans="1:8" ht="15"/>
    <row r="47" spans="1:8" ht="15"/>
    <row r="48" spans="1:8" ht="15"/>
    <row r="49" spans="1:29" ht="15.75" thickBot="1"/>
    <row r="50" spans="1:29" s="95" customFormat="1" ht="39" thickBot="1">
      <c r="A50" s="376" t="s">
        <v>568</v>
      </c>
      <c r="B50" s="377" t="s">
        <v>553</v>
      </c>
      <c r="C50" s="377" t="s">
        <v>554</v>
      </c>
      <c r="D50" s="377" t="s">
        <v>555</v>
      </c>
      <c r="E50" s="378"/>
      <c r="F50" s="378"/>
      <c r="G50" s="378"/>
      <c r="H50" s="378"/>
      <c r="I50" s="379"/>
      <c r="J50" s="97"/>
      <c r="L50" s="97"/>
      <c r="AC50" s="97"/>
    </row>
    <row r="51" spans="1:29" s="95" customFormat="1" ht="69.599999999999994" customHeight="1">
      <c r="A51" s="310" t="s">
        <v>551</v>
      </c>
      <c r="B51" s="310" t="str">
        <f>RIGHT(B50)</f>
        <v>1</v>
      </c>
      <c r="C51" s="310" t="str">
        <f>RIGHT(C50)</f>
        <v>2</v>
      </c>
      <c r="D51" s="310" t="str">
        <f>RIGHT(D50)</f>
        <v>3</v>
      </c>
      <c r="E51" s="310" t="s">
        <v>552</v>
      </c>
      <c r="F51" s="311" t="s">
        <v>547</v>
      </c>
      <c r="G51" s="311" t="s">
        <v>550</v>
      </c>
      <c r="H51" s="311" t="s">
        <v>556</v>
      </c>
      <c r="I51" s="97"/>
      <c r="J51" s="97"/>
      <c r="L51" s="97"/>
      <c r="AC51" s="97"/>
    </row>
    <row r="52" spans="1:29" s="95" customFormat="1" ht="31.5">
      <c r="A52" s="316" t="str">
        <f>HP_1!A12</f>
        <v>Type of heat pump</v>
      </c>
      <c r="B52" s="356" t="str">
        <f>HP_1!B12</f>
        <v>Air to Water</v>
      </c>
      <c r="C52" s="357" t="str" cm="1">
        <f t="array" aca="1" ref="C52" ca="1">INDIRECT($F52&amp;C$51&amp;"!"&amp;$G52)</f>
        <v>Air to Water</v>
      </c>
      <c r="D52" s="357" t="str" cm="1">
        <f t="array" aca="1" ref="D52" ca="1">INDIRECT($F52&amp;D$51&amp;"!"&amp;$G52)</f>
        <v>Air to Water</v>
      </c>
      <c r="E52" s="358" t="str">
        <f ca="1">VLOOKUP(A52,A52:D52,$N$1+1,FALSE)</f>
        <v>Air to Water</v>
      </c>
      <c r="F52" s="359" t="str">
        <f ca="1">LEFT(H52,FIND("1",H52)-1)</f>
        <v>HP_</v>
      </c>
      <c r="G52" s="359" t="str">
        <f ca="1">RIGHT(H52,LEN(H52)-FIND("!",H52))</f>
        <v>B12</v>
      </c>
      <c r="H52" s="360" t="str">
        <f ca="1">SUBSTITUTE( _xlfn.FORMULATEXT(B52),"=","")</f>
        <v>HP_1!B12</v>
      </c>
      <c r="L52" s="97"/>
      <c r="AC52" s="97"/>
    </row>
    <row r="53" spans="1:29" s="95" customFormat="1" ht="78.75">
      <c r="A53" s="316" t="str">
        <f>HP_1!D10</f>
        <v xml:space="preserve">Is this a Low Temperature Heat Pump? </v>
      </c>
      <c r="B53" s="362" t="str">
        <f>HP_1!G10</f>
        <v>Not low temperature heat pump</v>
      </c>
      <c r="C53" s="357" t="str" cm="1">
        <f t="array" aca="1" ref="C53" ca="1">INDIRECT($F53&amp;C$51&amp;"!"&amp;$G53)</f>
        <v>Not low temperature heat pump</v>
      </c>
      <c r="D53" s="357" t="str" cm="1">
        <f t="array" aca="1" ref="D53" ca="1">INDIRECT($F53&amp;D$51&amp;"!"&amp;$G53)</f>
        <v>Not low temperature heat pump</v>
      </c>
      <c r="E53" s="358" t="str">
        <f t="shared" ref="E53:E60" ca="1" si="2">VLOOKUP(A53,A53:D53,$N$1+1,FALSE)</f>
        <v>Not low temperature heat pump</v>
      </c>
      <c r="F53" s="359" t="str">
        <f ca="1">LEFT(H53,FIND("1",H53)-1)</f>
        <v>HP_</v>
      </c>
      <c r="G53" s="359" t="str">
        <f ca="1">RIGHT(H53,LEN(H53)-FIND("!",H53))</f>
        <v>G10</v>
      </c>
      <c r="H53" s="360" t="str">
        <f ca="1">SUBSTITUTE( _xlfn.FORMULATEXT(B53),"=","")</f>
        <v>HP_1!G10</v>
      </c>
      <c r="L53" s="97"/>
      <c r="AC53" s="97"/>
    </row>
    <row r="54" spans="1:29" s="95" customFormat="1" ht="60.6" customHeight="1">
      <c r="A54" s="316" t="str">
        <f>HP_1!D11</f>
        <v xml:space="preserve">Is this heat pump electric or gas (GAHP)? </v>
      </c>
      <c r="B54" s="361" t="str">
        <f>HP_1!G11</f>
        <v>Electricity</v>
      </c>
      <c r="C54" s="357" t="str" cm="1">
        <f t="array" aca="1" ref="C54" ca="1">INDIRECT($F54&amp;C$51&amp;"!"&amp;$G54)</f>
        <v>Electricity</v>
      </c>
      <c r="D54" s="357" t="str" cm="1">
        <f t="array" aca="1" ref="D54" ca="1">INDIRECT($F54&amp;D$51&amp;"!"&amp;$G54)</f>
        <v>Electricity</v>
      </c>
      <c r="E54" s="358" t="str">
        <f t="shared" ca="1" si="2"/>
        <v>Electricity</v>
      </c>
      <c r="F54" s="359" t="str">
        <f t="shared" ref="F54:F56" ca="1" si="3">LEFT(H54,FIND("1",H54)-1)</f>
        <v>HP_</v>
      </c>
      <c r="G54" s="359" t="str">
        <f t="shared" ref="G54:G56" ca="1" si="4">RIGHT(H54,LEN(H54)-FIND("!",H54))</f>
        <v>G11</v>
      </c>
      <c r="H54" s="360" t="str">
        <f t="shared" ref="H54:H56" ca="1" si="5">SUBSTITUTE( _xlfn.FORMULATEXT(B54),"=","")</f>
        <v>HP_1!G11</v>
      </c>
      <c r="L54" s="97"/>
      <c r="AC54" s="97"/>
    </row>
    <row r="55" spans="1:29" s="95" customFormat="1" ht="110.25">
      <c r="A55" s="316" t="str">
        <f>HP_1!D12</f>
        <v>What is the status of this heat pump regarding Ecodesign data?</v>
      </c>
      <c r="B55" s="362" t="str">
        <f>HP_1!G12</f>
        <v>Ecodesign applies and/or ecodesign data available</v>
      </c>
      <c r="C55" s="357" t="str" cm="1">
        <f t="array" aca="1" ref="C55" ca="1">INDIRECT($F55&amp;C$51&amp;"!"&amp;$G55)</f>
        <v>Ecodesign applies and/or ecodesign data available</v>
      </c>
      <c r="D55" s="357" t="str" cm="1">
        <f t="array" aca="1" ref="D55" ca="1">INDIRECT($F55&amp;D$51&amp;"!"&amp;$G55)</f>
        <v>Ecodesign applies and/or ecodesign data available</v>
      </c>
      <c r="E55" s="358" t="str">
        <f t="shared" ca="1" si="2"/>
        <v>Ecodesign applies and/or ecodesign data available</v>
      </c>
      <c r="F55" s="359" t="str">
        <f t="shared" ca="1" si="3"/>
        <v>HP_</v>
      </c>
      <c r="G55" s="359" t="str">
        <f t="shared" ca="1" si="4"/>
        <v>G12</v>
      </c>
      <c r="H55" s="360" t="str">
        <f t="shared" ca="1" si="5"/>
        <v>HP_1!G12</v>
      </c>
      <c r="L55" s="97"/>
      <c r="AC55" s="97"/>
    </row>
    <row r="56" spans="1:29" s="95" customFormat="1" ht="63">
      <c r="A56" s="316" t="str">
        <f>HP_1!A14</f>
        <v>Space Heating Test Standard</v>
      </c>
      <c r="B56" s="356" t="str">
        <f>HP_1!B14</f>
        <v>I.S. EN 14825</v>
      </c>
      <c r="C56" s="357" t="str" cm="1">
        <f t="array" aca="1" ref="C56" ca="1">INDIRECT($F56&amp;C$51&amp;"!"&amp;$G56)</f>
        <v>I.S. EN 14825</v>
      </c>
      <c r="D56" s="357" t="str" cm="1">
        <f t="array" aca="1" ref="D56" ca="1">INDIRECT($F56&amp;D$51&amp;"!"&amp;$G56)</f>
        <v>I.S. EN 14825</v>
      </c>
      <c r="E56" s="358" t="str">
        <f t="shared" ca="1" si="2"/>
        <v>I.S. EN 14825</v>
      </c>
      <c r="F56" s="359" t="str">
        <f t="shared" ca="1" si="3"/>
        <v>HP_</v>
      </c>
      <c r="G56" s="359" t="str">
        <f t="shared" ca="1" si="4"/>
        <v>B14</v>
      </c>
      <c r="H56" s="360" t="str">
        <f t="shared" ca="1" si="5"/>
        <v>HP_1!B14</v>
      </c>
      <c r="L56" s="97"/>
      <c r="AC56" s="97"/>
    </row>
    <row r="57" spans="1:29" ht="53.45" customHeight="1">
      <c r="A57" s="316" t="str">
        <f>HP_1!O10</f>
        <v>Space Heating served by HP</v>
      </c>
      <c r="B57" s="370" t="b">
        <f>HP_1!N10</f>
        <v>1</v>
      </c>
      <c r="C57" s="371" t="b" cm="1">
        <f t="array" aca="1" ref="C57" ca="1">INDIRECT($F57&amp;C$51&amp;"!"&amp;$G57)</f>
        <v>0</v>
      </c>
      <c r="D57" s="371" t="b" cm="1">
        <f t="array" aca="1" ref="D57" ca="1">INDIRECT($F57&amp;D$51&amp;"!"&amp;$G57)</f>
        <v>0</v>
      </c>
      <c r="E57" s="372" t="b">
        <f t="shared" ca="1" si="2"/>
        <v>0</v>
      </c>
      <c r="F57" s="373" t="str">
        <f ca="1">LEFT(H57,FIND("1",H57)-1)</f>
        <v>HP_</v>
      </c>
      <c r="G57" s="373" t="str">
        <f ca="1">RIGHT(H57,LEN(H57)-FIND("!",H57))</f>
        <v>N10</v>
      </c>
      <c r="H57" s="374" t="str">
        <f ca="1">SUBSTITUTE( _xlfn.FORMULATEXT(B57),"=","")</f>
        <v>HP_1!N10</v>
      </c>
    </row>
    <row r="58" spans="1:29" ht="72" customHeight="1">
      <c r="A58" s="316" t="str">
        <f>HP_1!O11</f>
        <v>Hot Water served by HP</v>
      </c>
      <c r="B58" s="370" t="b">
        <f>HP_1!N11</f>
        <v>1</v>
      </c>
      <c r="C58" s="371" t="b" cm="1">
        <f t="array" aca="1" ref="C58" ca="1">INDIRECT($F58&amp;C$51&amp;"!"&amp;$G58)</f>
        <v>0</v>
      </c>
      <c r="D58" s="371" t="b" cm="1">
        <f t="array" aca="1" ref="D58" ca="1">INDIRECT($F58&amp;D$51&amp;"!"&amp;$G58)</f>
        <v>0</v>
      </c>
      <c r="E58" s="372" t="b">
        <f t="shared" ca="1" si="2"/>
        <v>0</v>
      </c>
      <c r="F58" s="373" t="str">
        <f t="shared" ref="F58:F60" ca="1" si="6">LEFT(H58,FIND("1",H58)-1)</f>
        <v>HP_</v>
      </c>
      <c r="G58" s="373" t="str">
        <f t="shared" ref="G58:G60" ca="1" si="7">RIGHT(H58,LEN(H58)-FIND("!",H58))</f>
        <v>N11</v>
      </c>
      <c r="H58" s="374" t="str">
        <f t="shared" ref="H58:H60" ca="1" si="8">SUBSTITUTE( _xlfn.FORMULATEXT(B58),"=","")</f>
        <v>HP_1!N11</v>
      </c>
    </row>
    <row r="59" spans="1:29" ht="65.45" customHeight="1">
      <c r="A59" s="316" t="str">
        <f>HP_1!O12</f>
        <v>Same HP for Space and Water Heating</v>
      </c>
      <c r="B59" s="370" t="b">
        <f>HP_1!N12</f>
        <v>1</v>
      </c>
      <c r="C59" s="371" t="b" cm="1">
        <f t="array" aca="1" ref="C59" ca="1">INDIRECT($F59&amp;C$51&amp;"!"&amp;$G59)</f>
        <v>0</v>
      </c>
      <c r="D59" s="371" t="b" cm="1">
        <f t="array" aca="1" ref="D59" ca="1">INDIRECT($F59&amp;D$51&amp;"!"&amp;$G59)</f>
        <v>0</v>
      </c>
      <c r="E59" s="372" t="b">
        <f t="shared" ca="1" si="2"/>
        <v>0</v>
      </c>
      <c r="F59" s="373" t="str">
        <f t="shared" ca="1" si="6"/>
        <v>HP_</v>
      </c>
      <c r="G59" s="373" t="str">
        <f t="shared" ca="1" si="7"/>
        <v>N12</v>
      </c>
      <c r="H59" s="374" t="str">
        <f t="shared" ca="1" si="8"/>
        <v>HP_1!N12</v>
      </c>
    </row>
    <row r="60" spans="1:29" ht="24" customHeight="1">
      <c r="A60" s="316" t="str">
        <f>HP_1!A68</f>
        <v>Water Heating Test Standard</v>
      </c>
      <c r="B60" s="356" t="str">
        <f>HP_1!B68</f>
        <v>I.S. EN 16147</v>
      </c>
      <c r="C60" s="357" t="str" cm="1">
        <f t="array" aca="1" ref="C60" ca="1">INDIRECT($F60&amp;C$51&amp;"!"&amp;$G60)</f>
        <v>I.S. EN 16147</v>
      </c>
      <c r="D60" s="357" t="str" cm="1">
        <f t="array" aca="1" ref="D60" ca="1">INDIRECT($F60&amp;D$51&amp;"!"&amp;$G60)</f>
        <v>I.S. EN 16147</v>
      </c>
      <c r="E60" s="358" t="str">
        <f t="shared" ca="1" si="2"/>
        <v>I.S. EN 16147</v>
      </c>
      <c r="F60" s="359" t="str">
        <f t="shared" ca="1" si="6"/>
        <v>HP_</v>
      </c>
      <c r="G60" s="359" t="str">
        <f t="shared" ca="1" si="7"/>
        <v>B68</v>
      </c>
      <c r="H60" s="360" t="str">
        <f t="shared" ca="1" si="8"/>
        <v>HP_1!B68</v>
      </c>
    </row>
  </sheetData>
  <sheetProtection algorithmName="SHA-512" hashValue="/oEgs3Mqs1kCHnsv79sXzG6JWukitLYhi7wQQa/TfIaWRlLUVkftwx3coTRISylhN9Pegrl3SUg8ZAC0OMukdQ==" saltValue="sZo70tyKcOZXSy0Aouo11Q==" spinCount="100000" sheet="1" objects="1" scenarios="1"/>
  <autoFilter ref="A2:K34" xr:uid="{3A978C5E-8AA7-4C8C-8395-C11E814AEE32}"/>
  <mergeCells count="3">
    <mergeCell ref="A1:D1"/>
    <mergeCell ref="F1:I1"/>
    <mergeCell ref="F31:J31"/>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67371CF-EDEA-48B1-960D-0BFE61E60909}">
          <x14:formula1>
            <xm:f>HP_1!$N$1:$N$7</xm:f>
          </x14:formula1>
          <xm:sqref>F3:I30</xm:sqref>
        </x14:dataValidation>
        <x14:dataValidation type="list" allowBlank="1" showInputMessage="1" showErrorMessage="1" xr:uid="{CFF54B3A-8E4A-4369-ACA3-CDD06F7E93FB}">
          <x14:formula1>
            <xm:f>HP_1!$T$2:$T$3</xm:f>
          </x14:formula1>
          <xm:sqref>E3:E30</xm:sqref>
        </x14:dataValidation>
        <x14:dataValidation type="list" allowBlank="1" showInputMessage="1" showErrorMessage="1" xr:uid="{99017F0D-732E-4843-8C0B-3732CC9FFBC3}">
          <x14:formula1>
            <xm:f>HP_1!$R$1:$R$2</xm:f>
          </x14:formula1>
          <xm:sqref>D3:D30</xm:sqref>
        </x14:dataValidation>
        <x14:dataValidation type="list" allowBlank="1" showInputMessage="1" showErrorMessage="1" xr:uid="{0800A0AB-A68E-4900-A7E5-D722D97E1E84}">
          <x14:formula1>
            <xm:f>HP_1!$Q$2:$Q$3</xm:f>
          </x14:formula1>
          <xm:sqref>C3:C30</xm:sqref>
        </x14:dataValidation>
        <x14:dataValidation type="list" allowBlank="1" showInputMessage="1" showErrorMessage="1" xr:uid="{3236AEFB-740F-475B-8AC3-1E61DFC3E204}">
          <x14:formula1>
            <xm:f>HP_1!$S$1:$S$9</xm:f>
          </x14:formula1>
          <xm:sqref>B3:B30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A0D7C-6ED6-45A5-939F-52CF7CB74441}">
  <dimension ref="A1:AC60"/>
  <sheetViews>
    <sheetView zoomScale="55" zoomScaleNormal="55" workbookViewId="0">
      <selection activeCell="D13" sqref="D13"/>
    </sheetView>
  </sheetViews>
  <sheetFormatPr defaultColWidth="8.85546875" defaultRowHeight="24" customHeight="1"/>
  <cols>
    <col min="1" max="1" width="12.5703125" style="229" customWidth="1"/>
    <col min="2" max="2" width="25.7109375" style="229" bestFit="1" customWidth="1"/>
    <col min="3" max="3" width="18.5703125" style="229" bestFit="1" customWidth="1"/>
    <col min="4" max="4" width="84.85546875" style="229" customWidth="1"/>
    <col min="5" max="6" width="12.28515625" style="229" bestFit="1" customWidth="1"/>
    <col min="7" max="7" width="11.85546875" style="229" bestFit="1" customWidth="1"/>
    <col min="8" max="8" width="14.7109375" style="229" customWidth="1"/>
    <col min="9" max="9" width="18.7109375" style="238" bestFit="1" customWidth="1"/>
    <col min="10" max="10" width="27.5703125" style="239" customWidth="1"/>
    <col min="11" max="16384" width="8.85546875" style="229"/>
  </cols>
  <sheetData>
    <row r="1" spans="1:14" ht="133.15" customHeight="1" thickBot="1">
      <c r="A1" s="784" t="s">
        <v>474</v>
      </c>
      <c r="B1" s="785"/>
      <c r="C1" s="785"/>
      <c r="D1" s="228" t="str">
        <f>"Diagnostics cell: 
"&amp;E52&amp;"
"
&amp;E54&amp;"
"&amp;E55&amp;"
"&amp;E56</f>
        <v>Diagnostics cell: 
Air to Water
Electricity
Ecodesign applies and/or ecodesign data available
I.S. EN 16147</v>
      </c>
      <c r="E1" s="792" t="s">
        <v>466</v>
      </c>
      <c r="F1" s="793"/>
      <c r="G1" s="793"/>
      <c r="H1" s="793"/>
      <c r="I1" s="794"/>
      <c r="J1" s="230" t="s">
        <v>468</v>
      </c>
      <c r="M1" s="363" t="s">
        <v>509</v>
      </c>
      <c r="N1" s="293">
        <v>1</v>
      </c>
    </row>
    <row r="2" spans="1:14" s="238" customFormat="1" ht="37.9" customHeight="1" thickBot="1">
      <c r="A2" s="231" t="s">
        <v>469</v>
      </c>
      <c r="B2" s="232" t="s">
        <v>107</v>
      </c>
      <c r="C2" s="233" t="s">
        <v>470</v>
      </c>
      <c r="D2" s="270" t="s">
        <v>472</v>
      </c>
      <c r="E2" s="380" t="s">
        <v>81</v>
      </c>
      <c r="F2" s="381" t="s">
        <v>62</v>
      </c>
      <c r="G2" s="381" t="s">
        <v>72</v>
      </c>
      <c r="H2" s="382" t="s">
        <v>394</v>
      </c>
      <c r="I2" s="383" t="s">
        <v>485</v>
      </c>
      <c r="J2" s="239"/>
    </row>
    <row r="3" spans="1:14" ht="41.25">
      <c r="A3" s="240">
        <f>IF(AND($E$52=B3,$E$54=C3,$E$55=D3 ),1,"")</f>
        <v>1</v>
      </c>
      <c r="B3" s="241" t="s">
        <v>55</v>
      </c>
      <c r="C3" s="242" t="s">
        <v>44</v>
      </c>
      <c r="D3" s="271" t="s">
        <v>385</v>
      </c>
      <c r="E3" s="384" t="s">
        <v>81</v>
      </c>
      <c r="F3" s="384"/>
      <c r="G3" s="384"/>
      <c r="H3" s="384"/>
      <c r="I3" s="384" t="s">
        <v>485</v>
      </c>
      <c r="J3" s="272" t="str">
        <f>E3&amp;CHAR(10)&amp;F3&amp;CHAR(10)&amp;G3&amp;CHAR(10)&amp;H3&amp;CHAR(10)&amp;I3</f>
        <v>I.S. EN 16147
I.S. EN 14825/14511</v>
      </c>
    </row>
    <row r="4" spans="1:14" ht="41.25">
      <c r="A4" s="240" t="str">
        <f t="shared" ref="A4:A15" si="0">IF(AND($E$52=B4,$E$54=C4,$E$55=D4 ),1,"")</f>
        <v/>
      </c>
      <c r="B4" s="241" t="s">
        <v>63</v>
      </c>
      <c r="C4" s="242" t="s">
        <v>44</v>
      </c>
      <c r="D4" s="271" t="s">
        <v>385</v>
      </c>
      <c r="E4" s="384" t="s">
        <v>81</v>
      </c>
      <c r="F4" s="384"/>
      <c r="G4" s="384"/>
      <c r="H4" s="384"/>
      <c r="I4" s="384" t="s">
        <v>485</v>
      </c>
      <c r="J4" s="272" t="str">
        <f t="shared" ref="J4:J15" si="1">E4&amp;CHAR(10)&amp;F4&amp;CHAR(10)&amp;G4&amp;CHAR(10)&amp;H4&amp;CHAR(10)&amp;I4</f>
        <v>I.S. EN 16147
I.S. EN 14825/14511</v>
      </c>
    </row>
    <row r="5" spans="1:14" ht="41.25">
      <c r="A5" s="240" t="str">
        <f t="shared" si="0"/>
        <v/>
      </c>
      <c r="B5" s="241" t="s">
        <v>73</v>
      </c>
      <c r="C5" s="242" t="s">
        <v>44</v>
      </c>
      <c r="D5" s="271" t="s">
        <v>385</v>
      </c>
      <c r="E5" s="384" t="s">
        <v>81</v>
      </c>
      <c r="F5" s="384"/>
      <c r="G5" s="384"/>
      <c r="H5" s="384"/>
      <c r="I5" s="384" t="s">
        <v>485</v>
      </c>
      <c r="J5" s="272" t="str">
        <f t="shared" si="1"/>
        <v>I.S. EN 16147
I.S. EN 14825/14511</v>
      </c>
    </row>
    <row r="6" spans="1:14" ht="41.25">
      <c r="A6" s="240" t="str">
        <f t="shared" si="0"/>
        <v/>
      </c>
      <c r="B6" s="241" t="s">
        <v>82</v>
      </c>
      <c r="C6" s="242" t="s">
        <v>44</v>
      </c>
      <c r="D6" s="271" t="s">
        <v>385</v>
      </c>
      <c r="E6" s="384" t="s">
        <v>81</v>
      </c>
      <c r="F6" s="384"/>
      <c r="G6" s="384"/>
      <c r="H6" s="384"/>
      <c r="I6" s="384" t="s">
        <v>485</v>
      </c>
      <c r="J6" s="272" t="str">
        <f t="shared" si="1"/>
        <v>I.S. EN 16147
I.S. EN 14825/14511</v>
      </c>
    </row>
    <row r="7" spans="1:14" ht="41.25">
      <c r="A7" s="240" t="str">
        <f t="shared" si="0"/>
        <v/>
      </c>
      <c r="B7" s="241" t="s">
        <v>392</v>
      </c>
      <c r="C7" s="242" t="s">
        <v>44</v>
      </c>
      <c r="D7" s="271" t="s">
        <v>385</v>
      </c>
      <c r="E7" s="384" t="s">
        <v>81</v>
      </c>
      <c r="F7" s="384"/>
      <c r="G7" s="384"/>
      <c r="H7" s="384"/>
      <c r="I7" s="384" t="s">
        <v>485</v>
      </c>
      <c r="J7" s="272" t="str">
        <f t="shared" si="1"/>
        <v>I.S. EN 16147
I.S. EN 14825/14511</v>
      </c>
    </row>
    <row r="8" spans="1:14" ht="41.25">
      <c r="A8" s="240" t="str">
        <f t="shared" si="0"/>
        <v/>
      </c>
      <c r="B8" s="241" t="s">
        <v>55</v>
      </c>
      <c r="C8" s="242" t="s">
        <v>388</v>
      </c>
      <c r="D8" s="271" t="s">
        <v>385</v>
      </c>
      <c r="E8" s="384"/>
      <c r="F8" s="384"/>
      <c r="G8" s="384"/>
      <c r="H8" s="384" t="s">
        <v>394</v>
      </c>
      <c r="I8" s="384"/>
      <c r="J8" s="272" t="str">
        <f t="shared" si="1"/>
        <v xml:space="preserve">
I.S. EN  13203-6
</v>
      </c>
    </row>
    <row r="9" spans="1:14" ht="41.25">
      <c r="A9" s="240" t="str">
        <f t="shared" si="0"/>
        <v/>
      </c>
      <c r="B9" s="241" t="s">
        <v>63</v>
      </c>
      <c r="C9" s="242" t="s">
        <v>388</v>
      </c>
      <c r="D9" s="271" t="s">
        <v>385</v>
      </c>
      <c r="E9" s="384"/>
      <c r="F9" s="384"/>
      <c r="G9" s="384"/>
      <c r="H9" s="384" t="s">
        <v>394</v>
      </c>
      <c r="I9" s="384"/>
      <c r="J9" s="272" t="str">
        <f t="shared" si="1"/>
        <v xml:space="preserve">
I.S. EN  13203-6
</v>
      </c>
    </row>
    <row r="10" spans="1:14" ht="41.25">
      <c r="A10" s="240" t="str">
        <f t="shared" si="0"/>
        <v/>
      </c>
      <c r="B10" s="241" t="s">
        <v>73</v>
      </c>
      <c r="C10" s="242" t="s">
        <v>388</v>
      </c>
      <c r="D10" s="271" t="s">
        <v>385</v>
      </c>
      <c r="E10" s="384"/>
      <c r="F10" s="384"/>
      <c r="G10" s="384"/>
      <c r="H10" s="384" t="s">
        <v>394</v>
      </c>
      <c r="I10" s="384"/>
      <c r="J10" s="272" t="str">
        <f t="shared" si="1"/>
        <v xml:space="preserve">
I.S. EN  13203-6
</v>
      </c>
    </row>
    <row r="11" spans="1:14" ht="41.25">
      <c r="A11" s="240" t="str">
        <f t="shared" si="0"/>
        <v/>
      </c>
      <c r="B11" s="241" t="s">
        <v>55</v>
      </c>
      <c r="C11" s="242" t="s">
        <v>44</v>
      </c>
      <c r="D11" s="271" t="s">
        <v>391</v>
      </c>
      <c r="E11" s="384"/>
      <c r="F11" s="384" t="s">
        <v>62</v>
      </c>
      <c r="G11" s="384" t="s">
        <v>72</v>
      </c>
      <c r="H11" s="384"/>
      <c r="I11" s="384"/>
      <c r="J11" s="272" t="str">
        <f t="shared" si="1"/>
        <v xml:space="preserve">
I.S. EN 14511
I.S. EN 255-3
</v>
      </c>
    </row>
    <row r="12" spans="1:14" ht="41.25">
      <c r="A12" s="240" t="str">
        <f t="shared" si="0"/>
        <v/>
      </c>
      <c r="B12" s="241" t="s">
        <v>63</v>
      </c>
      <c r="C12" s="242" t="s">
        <v>44</v>
      </c>
      <c r="D12" s="271" t="s">
        <v>391</v>
      </c>
      <c r="E12" s="384"/>
      <c r="F12" s="384" t="s">
        <v>62</v>
      </c>
      <c r="G12" s="384" t="s">
        <v>72</v>
      </c>
      <c r="H12" s="384"/>
      <c r="I12" s="384"/>
      <c r="J12" s="272" t="str">
        <f t="shared" si="1"/>
        <v xml:space="preserve">
I.S. EN 14511
I.S. EN 255-3
</v>
      </c>
    </row>
    <row r="13" spans="1:14" ht="41.25">
      <c r="A13" s="240" t="str">
        <f t="shared" si="0"/>
        <v/>
      </c>
      <c r="B13" s="241" t="s">
        <v>73</v>
      </c>
      <c r="C13" s="242" t="s">
        <v>44</v>
      </c>
      <c r="D13" s="271" t="s">
        <v>391</v>
      </c>
      <c r="E13" s="384"/>
      <c r="F13" s="384" t="s">
        <v>62</v>
      </c>
      <c r="G13" s="384" t="s">
        <v>72</v>
      </c>
      <c r="H13" s="384"/>
      <c r="I13" s="384"/>
      <c r="J13" s="272" t="str">
        <f t="shared" si="1"/>
        <v xml:space="preserve">
I.S. EN 14511
I.S. EN 255-3
</v>
      </c>
    </row>
    <row r="14" spans="1:14" ht="41.25">
      <c r="A14" s="240" t="str">
        <f t="shared" si="0"/>
        <v/>
      </c>
      <c r="B14" s="241" t="s">
        <v>82</v>
      </c>
      <c r="C14" s="242" t="s">
        <v>44</v>
      </c>
      <c r="D14" s="271" t="s">
        <v>391</v>
      </c>
      <c r="E14" s="384"/>
      <c r="F14" s="384" t="s">
        <v>62</v>
      </c>
      <c r="G14" s="384" t="s">
        <v>72</v>
      </c>
      <c r="H14" s="384"/>
      <c r="I14" s="384"/>
      <c r="J14" s="272" t="str">
        <f t="shared" si="1"/>
        <v xml:space="preserve">
I.S. EN 14511
I.S. EN 255-3
</v>
      </c>
    </row>
    <row r="15" spans="1:14" ht="41.25">
      <c r="A15" s="240" t="str">
        <f t="shared" si="0"/>
        <v/>
      </c>
      <c r="B15" s="241" t="s">
        <v>392</v>
      </c>
      <c r="C15" s="242" t="s">
        <v>44</v>
      </c>
      <c r="D15" s="271" t="s">
        <v>391</v>
      </c>
      <c r="E15" s="384"/>
      <c r="F15" s="384" t="s">
        <v>62</v>
      </c>
      <c r="G15" s="384"/>
      <c r="H15" s="384"/>
      <c r="I15" s="384"/>
      <c r="J15" s="272" t="str">
        <f t="shared" si="1"/>
        <v xml:space="preserve">
I.S. EN 14511
</v>
      </c>
    </row>
    <row r="16" spans="1:14" ht="24" customHeight="1">
      <c r="A16" s="253"/>
      <c r="B16" s="365" t="str">
        <f>VLOOKUP(1,$A$3:$P$15,2,FALSE)</f>
        <v>Air to Water</v>
      </c>
      <c r="C16" s="365" t="str">
        <f>VLOOKUP(1,$A$3:$P$15,3,FALSE)</f>
        <v>Electricity</v>
      </c>
      <c r="D16" s="365" t="str">
        <f>VLOOKUP(1,$A$3:$P$15,4,FALSE)</f>
        <v>Ecodesign applies and/or ecodesign data available</v>
      </c>
      <c r="E16" s="795" t="s">
        <v>569</v>
      </c>
      <c r="F16" s="796"/>
      <c r="G16" s="796"/>
      <c r="H16" s="796"/>
      <c r="I16" s="797"/>
      <c r="J16" s="364" t="str">
        <f>VLOOKUP(1,$A$3:$P$15,10,FALSE)</f>
        <v>I.S. EN 16147
I.S. EN 14825/14511</v>
      </c>
    </row>
    <row r="17" spans="1:4" ht="24" customHeight="1">
      <c r="A17" s="253" t="str">
        <f>IF(A18&lt;&gt;"",A18,IF(A19&lt;&gt;"",A19,A20))</f>
        <v>Valid water heat pump type selected.</v>
      </c>
      <c r="B17" s="254"/>
      <c r="C17" s="254"/>
      <c r="D17" s="254"/>
    </row>
    <row r="18" spans="1:4" ht="24" customHeight="1">
      <c r="A18" s="253" t="str">
        <f>E60</f>
        <v/>
      </c>
      <c r="B18" s="254"/>
      <c r="C18" s="254"/>
      <c r="D18" s="254"/>
    </row>
    <row r="19" spans="1:4" ht="24" customHeight="1">
      <c r="A19" s="253" t="str">
        <f>IF(SUM(A3:A15)&lt;&gt;1,"ERROR: Invalid water heating heat pump type selected. See allowable options in 'water standards ID' tab","")</f>
        <v/>
      </c>
      <c r="B19" s="254"/>
      <c r="C19" s="254"/>
      <c r="D19" s="254"/>
    </row>
    <row r="20" spans="1:4" ht="24" customHeight="1">
      <c r="A20" s="255" t="s">
        <v>475</v>
      </c>
    </row>
    <row r="21" spans="1:4" ht="24" customHeight="1">
      <c r="A21" s="253"/>
    </row>
    <row r="22" spans="1:4" ht="24" customHeight="1">
      <c r="A22" s="253"/>
    </row>
    <row r="49" spans="1:29" ht="24" customHeight="1" thickBot="1"/>
    <row r="50" spans="1:29" s="95" customFormat="1" ht="39" thickBot="1">
      <c r="A50" s="376" t="s">
        <v>568</v>
      </c>
      <c r="B50" s="377" t="s">
        <v>553</v>
      </c>
      <c r="C50" s="377" t="s">
        <v>554</v>
      </c>
      <c r="D50" s="377" t="s">
        <v>555</v>
      </c>
      <c r="E50" s="378"/>
      <c r="F50" s="378"/>
      <c r="G50" s="378"/>
      <c r="H50" s="378"/>
      <c r="I50" s="379"/>
      <c r="J50" s="97"/>
      <c r="L50" s="97"/>
      <c r="AC50" s="97"/>
    </row>
    <row r="51" spans="1:29" s="95" customFormat="1" ht="69.599999999999994" customHeight="1">
      <c r="A51" s="310" t="s">
        <v>551</v>
      </c>
      <c r="B51" s="310" t="str">
        <f>RIGHT(B50)</f>
        <v>1</v>
      </c>
      <c r="C51" s="310" t="str">
        <f>RIGHT(C50)</f>
        <v>2</v>
      </c>
      <c r="D51" s="310" t="str">
        <f>RIGHT(D50)</f>
        <v>3</v>
      </c>
      <c r="E51" s="310" t="s">
        <v>552</v>
      </c>
      <c r="F51" s="311" t="s">
        <v>547</v>
      </c>
      <c r="G51" s="311" t="s">
        <v>550</v>
      </c>
      <c r="H51" s="311" t="s">
        <v>556</v>
      </c>
      <c r="I51" s="97"/>
      <c r="J51" s="97"/>
      <c r="L51" s="97"/>
      <c r="AC51" s="97"/>
    </row>
    <row r="52" spans="1:29" s="95" customFormat="1" ht="31.5">
      <c r="A52" s="316" t="str">
        <f>HP_1!A65</f>
        <v>Type of heat pump</v>
      </c>
      <c r="B52" s="356" t="str">
        <f>HP_1!B65</f>
        <v>Air to Water</v>
      </c>
      <c r="C52" s="357" t="str" cm="1">
        <f t="array" aca="1" ref="C52" ca="1">INDIRECT($F52&amp;C$51&amp;"!"&amp;$G52)</f>
        <v>Air to Water</v>
      </c>
      <c r="D52" s="357" t="str" cm="1">
        <f t="array" aca="1" ref="D52" ca="1">INDIRECT($F52&amp;D$51&amp;"!"&amp;$G52)</f>
        <v>Air to Water</v>
      </c>
      <c r="E52" s="372" t="str">
        <f>VLOOKUP(A52,A52:D52,$N$1+1,FALSE)</f>
        <v>Air to Water</v>
      </c>
      <c r="F52" s="359" t="str">
        <f ca="1">LEFT(H52,FIND("1",H52)-1)</f>
        <v>HP_</v>
      </c>
      <c r="G52" s="359" t="str">
        <f ca="1">RIGHT(H52,LEN(H52)-FIND("!",H52))</f>
        <v>B65</v>
      </c>
      <c r="H52" s="360" t="str">
        <f ca="1">SUBSTITUTE( _xlfn.FORMULATEXT(B52),"=","")</f>
        <v>HP_1!B65</v>
      </c>
      <c r="L52" s="97"/>
      <c r="AC52" s="97"/>
    </row>
    <row r="53" spans="1:29" s="95" customFormat="1" ht="78.75">
      <c r="A53" s="316" t="str">
        <f>HP_1!D10</f>
        <v xml:space="preserve">Is this a Low Temperature Heat Pump? </v>
      </c>
      <c r="B53" s="362" t="str">
        <f>HP_1!G10</f>
        <v>Not low temperature heat pump</v>
      </c>
      <c r="C53" s="357" t="str" cm="1">
        <f t="array" aca="1" ref="C53" ca="1">INDIRECT($F53&amp;C$51&amp;"!"&amp;$G53)</f>
        <v>Not low temperature heat pump</v>
      </c>
      <c r="D53" s="357" t="str" cm="1">
        <f t="array" aca="1" ref="D53" ca="1">INDIRECT($F53&amp;D$51&amp;"!"&amp;$G53)</f>
        <v>Not low temperature heat pump</v>
      </c>
      <c r="E53" s="372" t="str">
        <f t="shared" ref="E53:E59" si="2">VLOOKUP(A53,A53:D53,$N$1+1,FALSE)</f>
        <v>Not low temperature heat pump</v>
      </c>
      <c r="F53" s="359" t="str">
        <f ca="1">LEFT(H53,FIND("1",H53)-1)</f>
        <v>HP_</v>
      </c>
      <c r="G53" s="359" t="str">
        <f ca="1">RIGHT(H53,LEN(H53)-FIND("!",H53))</f>
        <v>G10</v>
      </c>
      <c r="H53" s="360" t="str">
        <f ca="1">SUBSTITUTE( _xlfn.FORMULATEXT(B53),"=","")</f>
        <v>HP_1!G10</v>
      </c>
      <c r="L53" s="97"/>
      <c r="AC53" s="97"/>
    </row>
    <row r="54" spans="1:29" s="95" customFormat="1" ht="60.6" customHeight="1">
      <c r="A54" s="316" t="str">
        <f>HP_1!D63</f>
        <v xml:space="preserve">Is this heat pump electric or gas (GAHP)? </v>
      </c>
      <c r="B54" s="361" t="str">
        <f>HP_1!G63</f>
        <v>Electricity</v>
      </c>
      <c r="C54" s="357" t="str" cm="1">
        <f t="array" aca="1" ref="C54" ca="1">INDIRECT($F54&amp;C$51&amp;"!"&amp;$G54)</f>
        <v>Electricity</v>
      </c>
      <c r="D54" s="357" t="str" cm="1">
        <f t="array" aca="1" ref="D54" ca="1">INDIRECT($F54&amp;D$51&amp;"!"&amp;$G54)</f>
        <v>Electricity</v>
      </c>
      <c r="E54" s="372" t="str">
        <f t="shared" si="2"/>
        <v>Electricity</v>
      </c>
      <c r="F54" s="359" t="str">
        <f t="shared" ref="F54:F56" ca="1" si="3">LEFT(H54,FIND("1",H54)-1)</f>
        <v>HP_</v>
      </c>
      <c r="G54" s="359" t="str">
        <f t="shared" ref="G54:G56" ca="1" si="4">RIGHT(H54,LEN(H54)-FIND("!",H54))</f>
        <v>G63</v>
      </c>
      <c r="H54" s="360" t="str">
        <f t="shared" ref="H54:H56" ca="1" si="5">SUBSTITUTE( _xlfn.FORMULATEXT(B54),"=","")</f>
        <v>HP_1!G63</v>
      </c>
      <c r="L54" s="97"/>
      <c r="AC54" s="97"/>
    </row>
    <row r="55" spans="1:29" s="95" customFormat="1" ht="110.25">
      <c r="A55" s="316" t="str">
        <f>HP_1!D64</f>
        <v>What is the status of this heat pump regarding Ecodesign data?</v>
      </c>
      <c r="B55" s="362" t="str">
        <f>HP_1!G64</f>
        <v>Ecodesign applies and/or ecodesign data available</v>
      </c>
      <c r="C55" s="357" t="str" cm="1">
        <f t="array" aca="1" ref="C55" ca="1">INDIRECT($F55&amp;C$51&amp;"!"&amp;$G55)</f>
        <v>Ecodesign applies and/or ecodesign data available</v>
      </c>
      <c r="D55" s="357" t="str" cm="1">
        <f t="array" aca="1" ref="D55" ca="1">INDIRECT($F55&amp;D$51&amp;"!"&amp;$G55)</f>
        <v>Ecodesign applies and/or ecodesign data available</v>
      </c>
      <c r="E55" s="372" t="str">
        <f t="shared" si="2"/>
        <v>Ecodesign applies and/or ecodesign data available</v>
      </c>
      <c r="F55" s="359" t="str">
        <f t="shared" ca="1" si="3"/>
        <v>HP_</v>
      </c>
      <c r="G55" s="359" t="str">
        <f t="shared" ca="1" si="4"/>
        <v>G64</v>
      </c>
      <c r="H55" s="360" t="str">
        <f t="shared" ca="1" si="5"/>
        <v>HP_1!G64</v>
      </c>
      <c r="L55" s="97"/>
      <c r="AC55" s="97"/>
    </row>
    <row r="56" spans="1:29" s="95" customFormat="1" ht="63">
      <c r="A56" s="316" t="str">
        <f>HP_1!A68</f>
        <v>Water Heating Test Standard</v>
      </c>
      <c r="B56" s="312" t="str">
        <f>HP_1!B68</f>
        <v>I.S. EN 16147</v>
      </c>
      <c r="C56" s="357" t="str" cm="1">
        <f t="array" aca="1" ref="C56" ca="1">INDIRECT($F56&amp;C$51&amp;"!"&amp;$G56)</f>
        <v>I.S. EN 16147</v>
      </c>
      <c r="D56" s="357" t="str" cm="1">
        <f t="array" aca="1" ref="D56" ca="1">INDIRECT($F56&amp;D$51&amp;"!"&amp;$G56)</f>
        <v>I.S. EN 16147</v>
      </c>
      <c r="E56" s="372" t="str">
        <f t="shared" si="2"/>
        <v>I.S. EN 16147</v>
      </c>
      <c r="F56" s="359" t="str">
        <f t="shared" ca="1" si="3"/>
        <v>HP_</v>
      </c>
      <c r="G56" s="359" t="str">
        <f t="shared" ca="1" si="4"/>
        <v>B68</v>
      </c>
      <c r="H56" s="360" t="str">
        <f t="shared" ca="1" si="5"/>
        <v>HP_1!B68</v>
      </c>
      <c r="L56" s="97"/>
      <c r="AC56" s="97"/>
    </row>
    <row r="57" spans="1:29" ht="53.45" customHeight="1">
      <c r="A57" s="316" t="str">
        <f>HP_1!O10</f>
        <v>Space Heating served by HP</v>
      </c>
      <c r="B57" s="370" t="b">
        <f>HP_1!N10</f>
        <v>1</v>
      </c>
      <c r="C57" s="371" t="b" cm="1">
        <f t="array" aca="1" ref="C57" ca="1">INDIRECT($F57&amp;C$51&amp;"!"&amp;$G57)</f>
        <v>0</v>
      </c>
      <c r="D57" s="371" t="b" cm="1">
        <f t="array" aca="1" ref="D57" ca="1">INDIRECT($F57&amp;D$51&amp;"!"&amp;$G57)</f>
        <v>0</v>
      </c>
      <c r="E57" s="372" t="b">
        <f t="shared" si="2"/>
        <v>1</v>
      </c>
      <c r="F57" s="373" t="str">
        <f ca="1">LEFT(H57,FIND("1",H57)-1)</f>
        <v>HP_</v>
      </c>
      <c r="G57" s="373" t="str">
        <f ca="1">RIGHT(H57,LEN(H57)-FIND("!",H57))</f>
        <v>N10</v>
      </c>
      <c r="H57" s="374" t="str">
        <f ca="1">SUBSTITUTE( _xlfn.FORMULATEXT(B57),"=","")</f>
        <v>HP_1!N10</v>
      </c>
      <c r="I57" s="229"/>
      <c r="J57" s="238"/>
      <c r="K57" s="268"/>
    </row>
    <row r="58" spans="1:29" ht="72" customHeight="1">
      <c r="A58" s="316" t="str">
        <f>HP_1!O11</f>
        <v>Hot Water served by HP</v>
      </c>
      <c r="B58" s="370" t="b">
        <f>HP_1!N11</f>
        <v>1</v>
      </c>
      <c r="C58" s="371" t="b" cm="1">
        <f t="array" aca="1" ref="C58" ca="1">INDIRECT($F58&amp;C$51&amp;"!"&amp;$G58)</f>
        <v>0</v>
      </c>
      <c r="D58" s="371" t="b" cm="1">
        <f t="array" aca="1" ref="D58" ca="1">INDIRECT($F58&amp;D$51&amp;"!"&amp;$G58)</f>
        <v>0</v>
      </c>
      <c r="E58" s="372" t="b">
        <f t="shared" si="2"/>
        <v>1</v>
      </c>
      <c r="F58" s="373" t="str">
        <f t="shared" ref="F58:F59" ca="1" si="6">LEFT(H58,FIND("1",H58)-1)</f>
        <v>HP_</v>
      </c>
      <c r="G58" s="373" t="str">
        <f t="shared" ref="G58:G59" ca="1" si="7">RIGHT(H58,LEN(H58)-FIND("!",H58))</f>
        <v>N11</v>
      </c>
      <c r="H58" s="374" t="str">
        <f t="shared" ref="H58:H59" ca="1" si="8">SUBSTITUTE( _xlfn.FORMULATEXT(B58),"=","")</f>
        <v>HP_1!N11</v>
      </c>
      <c r="I58" s="229"/>
      <c r="J58" s="238"/>
      <c r="K58" s="268"/>
    </row>
    <row r="59" spans="1:29" ht="65.45" customHeight="1">
      <c r="A59" s="316" t="str">
        <f>HP_1!O12</f>
        <v>Same HP for Space and Water Heating</v>
      </c>
      <c r="B59" s="370" t="b">
        <f>HP_1!N12</f>
        <v>1</v>
      </c>
      <c r="C59" s="371" t="b" cm="1">
        <f t="array" aca="1" ref="C59" ca="1">INDIRECT($F59&amp;C$51&amp;"!"&amp;$G59)</f>
        <v>0</v>
      </c>
      <c r="D59" s="371" t="b" cm="1">
        <f t="array" aca="1" ref="D59" ca="1">INDIRECT($F59&amp;D$51&amp;"!"&amp;$G59)</f>
        <v>0</v>
      </c>
      <c r="E59" s="372" t="b">
        <f t="shared" si="2"/>
        <v>1</v>
      </c>
      <c r="F59" s="373" t="str">
        <f t="shared" ca="1" si="6"/>
        <v>HP_</v>
      </c>
      <c r="G59" s="373" t="str">
        <f t="shared" ca="1" si="7"/>
        <v>N12</v>
      </c>
      <c r="H59" s="374" t="str">
        <f t="shared" ca="1" si="8"/>
        <v>HP_1!N12</v>
      </c>
      <c r="I59" s="229"/>
      <c r="J59" s="238"/>
      <c r="K59" s="268"/>
    </row>
    <row r="60" spans="1:29" ht="141" customHeight="1">
      <c r="A60" s="316" t="s">
        <v>570</v>
      </c>
      <c r="B60" s="370" t="str">
        <f>SpaceStandardsID_1!A32</f>
        <v/>
      </c>
      <c r="C60" s="371" t="str" cm="1">
        <f t="array" aca="1" ref="C60" ca="1">INDIRECT($F60&amp;C$51&amp;"!"&amp;$G60)</f>
        <v/>
      </c>
      <c r="D60" s="371" t="str" cm="1">
        <f t="array" aca="1" ref="D60" ca="1">INDIRECT($F60&amp;D$51&amp;"!"&amp;$G60)</f>
        <v/>
      </c>
      <c r="E60" s="372" t="str">
        <f t="shared" ref="E60" si="9">VLOOKUP(A60,A60:D60,$N$1+1,FALSE)</f>
        <v/>
      </c>
      <c r="F60" s="373" t="str">
        <f t="shared" ref="F60" ca="1" si="10">LEFT(H60,FIND("1",H60)-1)</f>
        <v>SpaceStandardsID_</v>
      </c>
      <c r="G60" s="373" t="str">
        <f t="shared" ref="G60" ca="1" si="11">RIGHT(H60,LEN(H60)-FIND("!",H60))</f>
        <v>A32</v>
      </c>
      <c r="H60" s="374" t="str">
        <f t="shared" ref="H60" ca="1" si="12">SUBSTITUTE( _xlfn.FORMULATEXT(B60),"=","")</f>
        <v>SpaceStandardsID_1!A32</v>
      </c>
    </row>
  </sheetData>
  <sheetProtection algorithmName="SHA-512" hashValue="Buz2HE78gJggaeAnVV3Im/VHvWTSuo6T9JuUqIZuyVQteRHv7mm9bSg14rAIzN/yeVKYFJeqH4rOXI/2useSiA==" saltValue="6KwVIoWS+s6KG79o3v5d/A==" spinCount="100000" sheet="1" objects="1" scenarios="1"/>
  <autoFilter ref="A2:J20" xr:uid="{3A978C5E-8AA7-4C8C-8395-C11E814AEE32}"/>
  <mergeCells count="3">
    <mergeCell ref="A1:C1"/>
    <mergeCell ref="E1:I1"/>
    <mergeCell ref="E16:I16"/>
  </mergeCells>
  <phoneticPr fontId="9" type="noConversion"/>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AA1F528-2FC9-4DBF-B3F3-CE9DB072C7A6}">
          <x14:formula1>
            <xm:f>HP_1!$T$2:$T$3</xm:f>
          </x14:formula1>
          <xm:sqref>D3:D15</xm:sqref>
        </x14:dataValidation>
        <x14:dataValidation type="list" allowBlank="1" showInputMessage="1" showErrorMessage="1" xr:uid="{80A9B81A-4DDD-44C3-BFD2-EF10A40B3883}">
          <x14:formula1>
            <xm:f>HP_1!$Q$2:$Q$3</xm:f>
          </x14:formula1>
          <xm:sqref>C3:C15</xm:sqref>
        </x14:dataValidation>
        <x14:dataValidation type="list" allowBlank="1" showInputMessage="1" showErrorMessage="1" xr:uid="{3CD17B9C-4F5C-47FD-91A2-6DE3956A22FC}">
          <x14:formula1>
            <xm:f>HP_1!$S$1:$S$8</xm:f>
          </x14:formula1>
          <xm:sqref>B3:B15</xm:sqref>
        </x14:dataValidation>
        <x14:dataValidation type="list" allowBlank="1" showInputMessage="1" showErrorMessage="1" xr:uid="{8E426DBF-43E5-4464-A3DE-96200EBA4A76}">
          <x14:formula1>
            <xm:f>HP_1!$N$1:$N$7</xm:f>
          </x14:formula1>
          <xm:sqref>E3:I15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88C39-D381-4531-87CF-A746E5B44F96}">
  <dimension ref="A1:AC60"/>
  <sheetViews>
    <sheetView zoomScale="55" zoomScaleNormal="55" workbookViewId="0">
      <selection activeCell="H12" sqref="H12"/>
    </sheetView>
  </sheetViews>
  <sheetFormatPr defaultColWidth="8.85546875" defaultRowHeight="24" customHeight="1"/>
  <cols>
    <col min="1" max="1" width="12.5703125" style="229" customWidth="1"/>
    <col min="2" max="2" width="25.7109375" style="229" bestFit="1" customWidth="1"/>
    <col min="3" max="3" width="18.5703125" style="229" bestFit="1" customWidth="1"/>
    <col min="4" max="4" width="84.85546875" style="229" customWidth="1"/>
    <col min="5" max="6" width="12.28515625" style="229" bestFit="1" customWidth="1"/>
    <col min="7" max="7" width="11.85546875" style="229" bestFit="1" customWidth="1"/>
    <col min="8" max="8" width="14.7109375" style="229" customWidth="1"/>
    <col min="9" max="9" width="18.7109375" style="238" bestFit="1" customWidth="1"/>
    <col min="10" max="10" width="27.5703125" style="239" customWidth="1"/>
    <col min="11" max="16384" width="8.85546875" style="229"/>
  </cols>
  <sheetData>
    <row r="1" spans="1:14" ht="133.15" customHeight="1" thickBot="1">
      <c r="A1" s="784" t="s">
        <v>474</v>
      </c>
      <c r="B1" s="785"/>
      <c r="C1" s="785"/>
      <c r="D1" s="228" t="str">
        <f ca="1">"Diagnostics cell: 
"&amp;E52&amp;"
"
&amp;E54&amp;"
"&amp;E55&amp;"
"&amp;E56</f>
        <v>Diagnostics cell: 
Air to Water
Electricity
Ecodesign applies and/or ecodesign data available
I.S. EN 16147</v>
      </c>
      <c r="E1" s="792" t="s">
        <v>466</v>
      </c>
      <c r="F1" s="793"/>
      <c r="G1" s="793"/>
      <c r="H1" s="793"/>
      <c r="I1" s="794"/>
      <c r="J1" s="230" t="s">
        <v>468</v>
      </c>
      <c r="M1" s="363" t="s">
        <v>509</v>
      </c>
      <c r="N1" s="293">
        <v>2</v>
      </c>
    </row>
    <row r="2" spans="1:14" s="238" customFormat="1" ht="37.9" customHeight="1" thickBot="1">
      <c r="A2" s="231" t="s">
        <v>469</v>
      </c>
      <c r="B2" s="232" t="s">
        <v>107</v>
      </c>
      <c r="C2" s="233" t="s">
        <v>470</v>
      </c>
      <c r="D2" s="270" t="s">
        <v>472</v>
      </c>
      <c r="E2" s="380" t="s">
        <v>81</v>
      </c>
      <c r="F2" s="381" t="s">
        <v>62</v>
      </c>
      <c r="G2" s="381" t="s">
        <v>72</v>
      </c>
      <c r="H2" s="382" t="s">
        <v>394</v>
      </c>
      <c r="I2" s="383" t="s">
        <v>485</v>
      </c>
      <c r="J2" s="239"/>
    </row>
    <row r="3" spans="1:14" ht="41.25">
      <c r="A3" s="240">
        <f ca="1">IF(AND($E$52=B3,$E$54=C3,$E$55=D3 ),1,"")</f>
        <v>1</v>
      </c>
      <c r="B3" s="241" t="s">
        <v>55</v>
      </c>
      <c r="C3" s="242" t="s">
        <v>44</v>
      </c>
      <c r="D3" s="271" t="s">
        <v>385</v>
      </c>
      <c r="E3" s="384" t="s">
        <v>81</v>
      </c>
      <c r="F3" s="384"/>
      <c r="G3" s="384"/>
      <c r="H3" s="384"/>
      <c r="I3" s="384" t="s">
        <v>485</v>
      </c>
      <c r="J3" s="272" t="str">
        <f>E3&amp;CHAR(10)&amp;F3&amp;CHAR(10)&amp;G3&amp;CHAR(10)&amp;H3&amp;CHAR(10)&amp;I3</f>
        <v>I.S. EN 16147
I.S. EN 14825/14511</v>
      </c>
    </row>
    <row r="4" spans="1:14" ht="41.25">
      <c r="A4" s="240" t="str">
        <f t="shared" ref="A4:A15" ca="1" si="0">IF(AND($E$52=B4,$E$54=C4,$E$55=D4 ),1,"")</f>
        <v/>
      </c>
      <c r="B4" s="241" t="s">
        <v>63</v>
      </c>
      <c r="C4" s="242" t="s">
        <v>44</v>
      </c>
      <c r="D4" s="271" t="s">
        <v>385</v>
      </c>
      <c r="E4" s="384" t="s">
        <v>81</v>
      </c>
      <c r="F4" s="384"/>
      <c r="G4" s="384"/>
      <c r="H4" s="384"/>
      <c r="I4" s="384" t="s">
        <v>485</v>
      </c>
      <c r="J4" s="272" t="str">
        <f t="shared" ref="J4:J15" si="1">E4&amp;CHAR(10)&amp;F4&amp;CHAR(10)&amp;G4&amp;CHAR(10)&amp;H4&amp;CHAR(10)&amp;I4</f>
        <v>I.S. EN 16147
I.S. EN 14825/14511</v>
      </c>
    </row>
    <row r="5" spans="1:14" ht="41.25">
      <c r="A5" s="240" t="str">
        <f t="shared" ca="1" si="0"/>
        <v/>
      </c>
      <c r="B5" s="241" t="s">
        <v>73</v>
      </c>
      <c r="C5" s="242" t="s">
        <v>44</v>
      </c>
      <c r="D5" s="271" t="s">
        <v>385</v>
      </c>
      <c r="E5" s="384" t="s">
        <v>81</v>
      </c>
      <c r="F5" s="384"/>
      <c r="G5" s="384"/>
      <c r="H5" s="384"/>
      <c r="I5" s="384" t="s">
        <v>485</v>
      </c>
      <c r="J5" s="272" t="str">
        <f t="shared" si="1"/>
        <v>I.S. EN 16147
I.S. EN 14825/14511</v>
      </c>
    </row>
    <row r="6" spans="1:14" ht="41.25">
      <c r="A6" s="240" t="str">
        <f t="shared" ca="1" si="0"/>
        <v/>
      </c>
      <c r="B6" s="241" t="s">
        <v>82</v>
      </c>
      <c r="C6" s="242" t="s">
        <v>44</v>
      </c>
      <c r="D6" s="271" t="s">
        <v>385</v>
      </c>
      <c r="E6" s="384" t="s">
        <v>81</v>
      </c>
      <c r="F6" s="384"/>
      <c r="G6" s="384"/>
      <c r="H6" s="384"/>
      <c r="I6" s="384" t="s">
        <v>485</v>
      </c>
      <c r="J6" s="272" t="str">
        <f t="shared" si="1"/>
        <v>I.S. EN 16147
I.S. EN 14825/14511</v>
      </c>
    </row>
    <row r="7" spans="1:14" ht="41.25">
      <c r="A7" s="240" t="str">
        <f t="shared" ca="1" si="0"/>
        <v/>
      </c>
      <c r="B7" s="241" t="s">
        <v>392</v>
      </c>
      <c r="C7" s="242" t="s">
        <v>44</v>
      </c>
      <c r="D7" s="271" t="s">
        <v>385</v>
      </c>
      <c r="E7" s="384" t="s">
        <v>81</v>
      </c>
      <c r="F7" s="384"/>
      <c r="G7" s="384"/>
      <c r="H7" s="384"/>
      <c r="I7" s="384" t="s">
        <v>485</v>
      </c>
      <c r="J7" s="272" t="str">
        <f t="shared" si="1"/>
        <v>I.S. EN 16147
I.S. EN 14825/14511</v>
      </c>
    </row>
    <row r="8" spans="1:14" ht="41.25">
      <c r="A8" s="240" t="str">
        <f t="shared" ca="1" si="0"/>
        <v/>
      </c>
      <c r="B8" s="241" t="s">
        <v>55</v>
      </c>
      <c r="C8" s="242" t="s">
        <v>388</v>
      </c>
      <c r="D8" s="271" t="s">
        <v>385</v>
      </c>
      <c r="E8" s="384"/>
      <c r="F8" s="384"/>
      <c r="G8" s="384"/>
      <c r="H8" s="384" t="s">
        <v>394</v>
      </c>
      <c r="I8" s="384"/>
      <c r="J8" s="272" t="str">
        <f t="shared" si="1"/>
        <v xml:space="preserve">
I.S. EN  13203-6
</v>
      </c>
    </row>
    <row r="9" spans="1:14" ht="41.25">
      <c r="A9" s="240" t="str">
        <f t="shared" ca="1" si="0"/>
        <v/>
      </c>
      <c r="B9" s="241" t="s">
        <v>63</v>
      </c>
      <c r="C9" s="242" t="s">
        <v>388</v>
      </c>
      <c r="D9" s="271" t="s">
        <v>385</v>
      </c>
      <c r="E9" s="384"/>
      <c r="F9" s="384"/>
      <c r="G9" s="384"/>
      <c r="H9" s="384" t="s">
        <v>394</v>
      </c>
      <c r="I9" s="384"/>
      <c r="J9" s="272" t="str">
        <f t="shared" si="1"/>
        <v xml:space="preserve">
I.S. EN  13203-6
</v>
      </c>
    </row>
    <row r="10" spans="1:14" ht="41.25">
      <c r="A10" s="240" t="str">
        <f t="shared" ca="1" si="0"/>
        <v/>
      </c>
      <c r="B10" s="241" t="s">
        <v>73</v>
      </c>
      <c r="C10" s="242" t="s">
        <v>388</v>
      </c>
      <c r="D10" s="271" t="s">
        <v>385</v>
      </c>
      <c r="E10" s="384"/>
      <c r="F10" s="384"/>
      <c r="G10" s="384"/>
      <c r="H10" s="384" t="s">
        <v>394</v>
      </c>
      <c r="I10" s="384"/>
      <c r="J10" s="272" t="str">
        <f t="shared" si="1"/>
        <v xml:space="preserve">
I.S. EN  13203-6
</v>
      </c>
    </row>
    <row r="11" spans="1:14" ht="41.25">
      <c r="A11" s="240" t="str">
        <f t="shared" ca="1" si="0"/>
        <v/>
      </c>
      <c r="B11" s="241" t="s">
        <v>55</v>
      </c>
      <c r="C11" s="242" t="s">
        <v>44</v>
      </c>
      <c r="D11" s="271" t="s">
        <v>391</v>
      </c>
      <c r="E11" s="384"/>
      <c r="F11" s="384" t="s">
        <v>62</v>
      </c>
      <c r="G11" s="384" t="s">
        <v>72</v>
      </c>
      <c r="H11" s="384"/>
      <c r="I11" s="384"/>
      <c r="J11" s="272" t="str">
        <f t="shared" si="1"/>
        <v xml:space="preserve">
I.S. EN 14511
I.S. EN 255-3
</v>
      </c>
    </row>
    <row r="12" spans="1:14" ht="41.25">
      <c r="A12" s="240" t="str">
        <f t="shared" ca="1" si="0"/>
        <v/>
      </c>
      <c r="B12" s="241" t="s">
        <v>63</v>
      </c>
      <c r="C12" s="242" t="s">
        <v>44</v>
      </c>
      <c r="D12" s="271" t="s">
        <v>391</v>
      </c>
      <c r="E12" s="384"/>
      <c r="F12" s="384" t="s">
        <v>62</v>
      </c>
      <c r="G12" s="384" t="s">
        <v>72</v>
      </c>
      <c r="H12" s="384"/>
      <c r="I12" s="384"/>
      <c r="J12" s="272" t="str">
        <f t="shared" si="1"/>
        <v xml:space="preserve">
I.S. EN 14511
I.S. EN 255-3
</v>
      </c>
    </row>
    <row r="13" spans="1:14" ht="41.25">
      <c r="A13" s="240" t="str">
        <f t="shared" ca="1" si="0"/>
        <v/>
      </c>
      <c r="B13" s="241" t="s">
        <v>73</v>
      </c>
      <c r="C13" s="242" t="s">
        <v>44</v>
      </c>
      <c r="D13" s="271" t="s">
        <v>391</v>
      </c>
      <c r="E13" s="384"/>
      <c r="F13" s="384" t="s">
        <v>62</v>
      </c>
      <c r="G13" s="384" t="s">
        <v>72</v>
      </c>
      <c r="H13" s="384"/>
      <c r="I13" s="384"/>
      <c r="J13" s="272" t="str">
        <f t="shared" si="1"/>
        <v xml:space="preserve">
I.S. EN 14511
I.S. EN 255-3
</v>
      </c>
    </row>
    <row r="14" spans="1:14" ht="41.25">
      <c r="A14" s="240" t="str">
        <f t="shared" ca="1" si="0"/>
        <v/>
      </c>
      <c r="B14" s="241" t="s">
        <v>82</v>
      </c>
      <c r="C14" s="242" t="s">
        <v>44</v>
      </c>
      <c r="D14" s="271" t="s">
        <v>391</v>
      </c>
      <c r="E14" s="384"/>
      <c r="F14" s="384" t="s">
        <v>62</v>
      </c>
      <c r="G14" s="384" t="s">
        <v>72</v>
      </c>
      <c r="H14" s="384"/>
      <c r="I14" s="384"/>
      <c r="J14" s="272" t="str">
        <f t="shared" si="1"/>
        <v xml:space="preserve">
I.S. EN 14511
I.S. EN 255-3
</v>
      </c>
    </row>
    <row r="15" spans="1:14" ht="41.25">
      <c r="A15" s="240" t="str">
        <f t="shared" ca="1" si="0"/>
        <v/>
      </c>
      <c r="B15" s="241" t="s">
        <v>392</v>
      </c>
      <c r="C15" s="242" t="s">
        <v>44</v>
      </c>
      <c r="D15" s="271" t="s">
        <v>391</v>
      </c>
      <c r="E15" s="384"/>
      <c r="F15" s="384" t="s">
        <v>62</v>
      </c>
      <c r="G15" s="384"/>
      <c r="H15" s="384"/>
      <c r="I15" s="384"/>
      <c r="J15" s="272" t="str">
        <f t="shared" si="1"/>
        <v xml:space="preserve">
I.S. EN 14511
</v>
      </c>
    </row>
    <row r="16" spans="1:14" ht="24" customHeight="1">
      <c r="A16" s="253"/>
      <c r="B16" s="365" t="str">
        <f ca="1">VLOOKUP(1,$A$3:$P$15,2,FALSE)</f>
        <v>Air to Water</v>
      </c>
      <c r="C16" s="365" t="str">
        <f ca="1">VLOOKUP(1,$A$3:$P$15,3,FALSE)</f>
        <v>Electricity</v>
      </c>
      <c r="D16" s="365" t="str">
        <f ca="1">VLOOKUP(1,$A$3:$P$15,4,FALSE)</f>
        <v>Ecodesign applies and/or ecodesign data available</v>
      </c>
      <c r="E16" s="795" t="s">
        <v>569</v>
      </c>
      <c r="F16" s="796"/>
      <c r="G16" s="796"/>
      <c r="H16" s="796"/>
      <c r="I16" s="797"/>
      <c r="J16" s="364" t="str">
        <f ca="1">VLOOKUP(1,$A$3:$P$15,10,FALSE)</f>
        <v>I.S. EN 16147
I.S. EN 14825/14511</v>
      </c>
    </row>
    <row r="17" spans="1:4" ht="24" customHeight="1">
      <c r="A17" s="253" t="str">
        <f ca="1">IF(A18&lt;&gt;"",A18,IF(A19&lt;&gt;"",A19,A20))</f>
        <v>Valid water heat pump type selected.</v>
      </c>
      <c r="B17" s="254"/>
      <c r="C17" s="254"/>
      <c r="D17" s="254"/>
    </row>
    <row r="18" spans="1:4" ht="24" customHeight="1">
      <c r="A18" s="253" t="str">
        <f ca="1">E60</f>
        <v/>
      </c>
      <c r="B18" s="254"/>
      <c r="C18" s="254"/>
      <c r="D18" s="254"/>
    </row>
    <row r="19" spans="1:4" ht="24" customHeight="1">
      <c r="A19" s="253" t="str">
        <f ca="1">IF(SUM(A3:A15)&lt;&gt;1,"ERROR: Invalid water heating heat pump type selected. See allowable options in 'water standards ID' tab","")</f>
        <v/>
      </c>
      <c r="B19" s="254"/>
      <c r="C19" s="254"/>
      <c r="D19" s="254"/>
    </row>
    <row r="20" spans="1:4" ht="24" customHeight="1">
      <c r="A20" s="255" t="s">
        <v>475</v>
      </c>
    </row>
    <row r="21" spans="1:4" ht="24" customHeight="1">
      <c r="A21" s="253"/>
    </row>
    <row r="22" spans="1:4" ht="24" customHeight="1">
      <c r="A22" s="253"/>
    </row>
    <row r="49" spans="1:29" ht="24" customHeight="1" thickBot="1"/>
    <row r="50" spans="1:29" s="95" customFormat="1" ht="39" thickBot="1">
      <c r="A50" s="376" t="s">
        <v>568</v>
      </c>
      <c r="B50" s="377" t="s">
        <v>553</v>
      </c>
      <c r="C50" s="377" t="s">
        <v>554</v>
      </c>
      <c r="D50" s="377" t="s">
        <v>555</v>
      </c>
      <c r="E50" s="378"/>
      <c r="F50" s="378"/>
      <c r="G50" s="378"/>
      <c r="H50" s="378"/>
      <c r="I50" s="379"/>
      <c r="J50" s="97"/>
      <c r="L50" s="97"/>
      <c r="AC50" s="97"/>
    </row>
    <row r="51" spans="1:29" s="95" customFormat="1" ht="69.599999999999994" customHeight="1">
      <c r="A51" s="310" t="s">
        <v>551</v>
      </c>
      <c r="B51" s="310" t="str">
        <f>RIGHT(B50)</f>
        <v>1</v>
      </c>
      <c r="C51" s="310" t="str">
        <f>RIGHT(C50)</f>
        <v>2</v>
      </c>
      <c r="D51" s="310" t="str">
        <f>RIGHT(D50)</f>
        <v>3</v>
      </c>
      <c r="E51" s="310" t="s">
        <v>552</v>
      </c>
      <c r="F51" s="311" t="s">
        <v>547</v>
      </c>
      <c r="G51" s="311" t="s">
        <v>550</v>
      </c>
      <c r="H51" s="311" t="s">
        <v>556</v>
      </c>
      <c r="I51" s="97"/>
      <c r="J51" s="97"/>
      <c r="L51" s="97"/>
      <c r="AC51" s="97"/>
    </row>
    <row r="52" spans="1:29" s="95" customFormat="1" ht="31.5">
      <c r="A52" s="316" t="str">
        <f>HP_1!A65</f>
        <v>Type of heat pump</v>
      </c>
      <c r="B52" s="356" t="str">
        <f>HP_1!B65</f>
        <v>Air to Water</v>
      </c>
      <c r="C52" s="357" t="str" cm="1">
        <f t="array" aca="1" ref="C52" ca="1">INDIRECT($F52&amp;C$51&amp;"!"&amp;$G52)</f>
        <v>Air to Water</v>
      </c>
      <c r="D52" s="357" t="str" cm="1">
        <f t="array" aca="1" ref="D52" ca="1">INDIRECT($F52&amp;D$51&amp;"!"&amp;$G52)</f>
        <v>Air to Water</v>
      </c>
      <c r="E52" s="372" t="str">
        <f ca="1">VLOOKUP(A52,A52:D52,$N$1+1,FALSE)</f>
        <v>Air to Water</v>
      </c>
      <c r="F52" s="359" t="str">
        <f ca="1">LEFT(H52,FIND("1",H52)-1)</f>
        <v>HP_</v>
      </c>
      <c r="G52" s="359" t="str">
        <f ca="1">RIGHT(H52,LEN(H52)-FIND("!",H52))</f>
        <v>B65</v>
      </c>
      <c r="H52" s="360" t="str">
        <f ca="1">SUBSTITUTE( _xlfn.FORMULATEXT(B52),"=","")</f>
        <v>HP_1!B65</v>
      </c>
      <c r="L52" s="97"/>
      <c r="AC52" s="97"/>
    </row>
    <row r="53" spans="1:29" s="95" customFormat="1" ht="78.75">
      <c r="A53" s="316" t="str">
        <f>HP_1!D10</f>
        <v xml:space="preserve">Is this a Low Temperature Heat Pump? </v>
      </c>
      <c r="B53" s="362" t="str">
        <f>HP_1!G10</f>
        <v>Not low temperature heat pump</v>
      </c>
      <c r="C53" s="357" t="str" cm="1">
        <f t="array" aca="1" ref="C53" ca="1">INDIRECT($F53&amp;C$51&amp;"!"&amp;$G53)</f>
        <v>Not low temperature heat pump</v>
      </c>
      <c r="D53" s="357" t="str" cm="1">
        <f t="array" aca="1" ref="D53" ca="1">INDIRECT($F53&amp;D$51&amp;"!"&amp;$G53)</f>
        <v>Not low temperature heat pump</v>
      </c>
      <c r="E53" s="372" t="str">
        <f t="shared" ref="E53:E60" ca="1" si="2">VLOOKUP(A53,A53:D53,$N$1+1,FALSE)</f>
        <v>Not low temperature heat pump</v>
      </c>
      <c r="F53" s="359" t="str">
        <f ca="1">LEFT(H53,FIND("1",H53)-1)</f>
        <v>HP_</v>
      </c>
      <c r="G53" s="359" t="str">
        <f ca="1">RIGHT(H53,LEN(H53)-FIND("!",H53))</f>
        <v>G10</v>
      </c>
      <c r="H53" s="360" t="str">
        <f ca="1">SUBSTITUTE( _xlfn.FORMULATEXT(B53),"=","")</f>
        <v>HP_1!G10</v>
      </c>
      <c r="L53" s="97"/>
      <c r="AC53" s="97"/>
    </row>
    <row r="54" spans="1:29" s="95" customFormat="1" ht="60.6" customHeight="1">
      <c r="A54" s="316" t="str">
        <f>HP_1!D63</f>
        <v xml:space="preserve">Is this heat pump electric or gas (GAHP)? </v>
      </c>
      <c r="B54" s="361" t="str">
        <f>HP_1!G63</f>
        <v>Electricity</v>
      </c>
      <c r="C54" s="357" t="str" cm="1">
        <f t="array" aca="1" ref="C54" ca="1">INDIRECT($F54&amp;C$51&amp;"!"&amp;$G54)</f>
        <v>Electricity</v>
      </c>
      <c r="D54" s="357" t="str" cm="1">
        <f t="array" aca="1" ref="D54" ca="1">INDIRECT($F54&amp;D$51&amp;"!"&amp;$G54)</f>
        <v>Electricity</v>
      </c>
      <c r="E54" s="372" t="str">
        <f t="shared" ca="1" si="2"/>
        <v>Electricity</v>
      </c>
      <c r="F54" s="359" t="str">
        <f t="shared" ref="F54:F56" ca="1" si="3">LEFT(H54,FIND("1",H54)-1)</f>
        <v>HP_</v>
      </c>
      <c r="G54" s="359" t="str">
        <f t="shared" ref="G54:G56" ca="1" si="4">RIGHT(H54,LEN(H54)-FIND("!",H54))</f>
        <v>G63</v>
      </c>
      <c r="H54" s="360" t="str">
        <f t="shared" ref="H54:H56" ca="1" si="5">SUBSTITUTE( _xlfn.FORMULATEXT(B54),"=","")</f>
        <v>HP_1!G63</v>
      </c>
      <c r="L54" s="97"/>
      <c r="AC54" s="97"/>
    </row>
    <row r="55" spans="1:29" s="95" customFormat="1" ht="110.25">
      <c r="A55" s="316" t="str">
        <f>HP_1!D64</f>
        <v>What is the status of this heat pump regarding Ecodesign data?</v>
      </c>
      <c r="B55" s="362" t="str">
        <f>HP_1!G64</f>
        <v>Ecodesign applies and/or ecodesign data available</v>
      </c>
      <c r="C55" s="357" t="str" cm="1">
        <f t="array" aca="1" ref="C55" ca="1">INDIRECT($F55&amp;C$51&amp;"!"&amp;$G55)</f>
        <v>Ecodesign applies and/or ecodesign data available</v>
      </c>
      <c r="D55" s="357" t="str" cm="1">
        <f t="array" aca="1" ref="D55" ca="1">INDIRECT($F55&amp;D$51&amp;"!"&amp;$G55)</f>
        <v>Ecodesign applies and/or ecodesign data available</v>
      </c>
      <c r="E55" s="372" t="str">
        <f t="shared" ca="1" si="2"/>
        <v>Ecodesign applies and/or ecodesign data available</v>
      </c>
      <c r="F55" s="359" t="str">
        <f t="shared" ca="1" si="3"/>
        <v>HP_</v>
      </c>
      <c r="G55" s="359" t="str">
        <f t="shared" ca="1" si="4"/>
        <v>G64</v>
      </c>
      <c r="H55" s="360" t="str">
        <f t="shared" ca="1" si="5"/>
        <v>HP_1!G64</v>
      </c>
      <c r="L55" s="97"/>
      <c r="AC55" s="97"/>
    </row>
    <row r="56" spans="1:29" s="95" customFormat="1" ht="63">
      <c r="A56" s="316" t="str">
        <f>HP_1!A68</f>
        <v>Water Heating Test Standard</v>
      </c>
      <c r="B56" s="312" t="str">
        <f>HP_1!B68</f>
        <v>I.S. EN 16147</v>
      </c>
      <c r="C56" s="357" t="str" cm="1">
        <f t="array" aca="1" ref="C56" ca="1">INDIRECT($F56&amp;C$51&amp;"!"&amp;$G56)</f>
        <v>I.S. EN 16147</v>
      </c>
      <c r="D56" s="357" t="str" cm="1">
        <f t="array" aca="1" ref="D56" ca="1">INDIRECT($F56&amp;D$51&amp;"!"&amp;$G56)</f>
        <v>I.S. EN 16147</v>
      </c>
      <c r="E56" s="372" t="str">
        <f t="shared" ca="1" si="2"/>
        <v>I.S. EN 16147</v>
      </c>
      <c r="F56" s="359" t="str">
        <f t="shared" ca="1" si="3"/>
        <v>HP_</v>
      </c>
      <c r="G56" s="359" t="str">
        <f t="shared" ca="1" si="4"/>
        <v>B68</v>
      </c>
      <c r="H56" s="360" t="str">
        <f t="shared" ca="1" si="5"/>
        <v>HP_1!B68</v>
      </c>
      <c r="L56" s="97"/>
      <c r="AC56" s="97"/>
    </row>
    <row r="57" spans="1:29" ht="53.45" customHeight="1">
      <c r="A57" s="316" t="str">
        <f>HP_1!O10</f>
        <v>Space Heating served by HP</v>
      </c>
      <c r="B57" s="370" t="b">
        <f>HP_1!N10</f>
        <v>1</v>
      </c>
      <c r="C57" s="371" t="b" cm="1">
        <f t="array" aca="1" ref="C57" ca="1">INDIRECT($F57&amp;C$51&amp;"!"&amp;$G57)</f>
        <v>0</v>
      </c>
      <c r="D57" s="371" t="b" cm="1">
        <f t="array" aca="1" ref="D57" ca="1">INDIRECT($F57&amp;D$51&amp;"!"&amp;$G57)</f>
        <v>0</v>
      </c>
      <c r="E57" s="372" t="b">
        <f t="shared" ca="1" si="2"/>
        <v>0</v>
      </c>
      <c r="F57" s="373" t="str">
        <f ca="1">LEFT(H57,FIND("1",H57)-1)</f>
        <v>HP_</v>
      </c>
      <c r="G57" s="373" t="str">
        <f ca="1">RIGHT(H57,LEN(H57)-FIND("!",H57))</f>
        <v>N10</v>
      </c>
      <c r="H57" s="374" t="str">
        <f ca="1">SUBSTITUTE( _xlfn.FORMULATEXT(B57),"=","")</f>
        <v>HP_1!N10</v>
      </c>
      <c r="I57" s="229"/>
      <c r="J57" s="238"/>
      <c r="K57" s="268"/>
    </row>
    <row r="58" spans="1:29" ht="72" customHeight="1">
      <c r="A58" s="316" t="str">
        <f>HP_1!O11</f>
        <v>Hot Water served by HP</v>
      </c>
      <c r="B58" s="370" t="b">
        <f>HP_1!N11</f>
        <v>1</v>
      </c>
      <c r="C58" s="371" t="b" cm="1">
        <f t="array" aca="1" ref="C58" ca="1">INDIRECT($F58&amp;C$51&amp;"!"&amp;$G58)</f>
        <v>0</v>
      </c>
      <c r="D58" s="371" t="b" cm="1">
        <f t="array" aca="1" ref="D58" ca="1">INDIRECT($F58&amp;D$51&amp;"!"&amp;$G58)</f>
        <v>0</v>
      </c>
      <c r="E58" s="372" t="b">
        <f t="shared" ca="1" si="2"/>
        <v>0</v>
      </c>
      <c r="F58" s="373" t="str">
        <f t="shared" ref="F58:F60" ca="1" si="6">LEFT(H58,FIND("1",H58)-1)</f>
        <v>HP_</v>
      </c>
      <c r="G58" s="373" t="str">
        <f t="shared" ref="G58:G60" ca="1" si="7">RIGHT(H58,LEN(H58)-FIND("!",H58))</f>
        <v>N11</v>
      </c>
      <c r="H58" s="374" t="str">
        <f t="shared" ref="H58:H60" ca="1" si="8">SUBSTITUTE( _xlfn.FORMULATEXT(B58),"=","")</f>
        <v>HP_1!N11</v>
      </c>
      <c r="I58" s="229"/>
      <c r="J58" s="238"/>
      <c r="K58" s="268"/>
    </row>
    <row r="59" spans="1:29" ht="65.45" customHeight="1">
      <c r="A59" s="316" t="str">
        <f>HP_1!O12</f>
        <v>Same HP for Space and Water Heating</v>
      </c>
      <c r="B59" s="370" t="b">
        <f>HP_1!N12</f>
        <v>1</v>
      </c>
      <c r="C59" s="371" t="b" cm="1">
        <f t="array" aca="1" ref="C59" ca="1">INDIRECT($F59&amp;C$51&amp;"!"&amp;$G59)</f>
        <v>0</v>
      </c>
      <c r="D59" s="371" t="b" cm="1">
        <f t="array" aca="1" ref="D59" ca="1">INDIRECT($F59&amp;D$51&amp;"!"&amp;$G59)</f>
        <v>0</v>
      </c>
      <c r="E59" s="372" t="b">
        <f t="shared" ca="1" si="2"/>
        <v>0</v>
      </c>
      <c r="F59" s="373" t="str">
        <f t="shared" ca="1" si="6"/>
        <v>HP_</v>
      </c>
      <c r="G59" s="373" t="str">
        <f t="shared" ca="1" si="7"/>
        <v>N12</v>
      </c>
      <c r="H59" s="374" t="str">
        <f t="shared" ca="1" si="8"/>
        <v>HP_1!N12</v>
      </c>
      <c r="I59" s="229"/>
      <c r="J59" s="238"/>
      <c r="K59" s="268"/>
    </row>
    <row r="60" spans="1:29" ht="141" customHeight="1">
      <c r="A60" s="316" t="s">
        <v>570</v>
      </c>
      <c r="B60" s="370" t="str">
        <f>SpaceStandardsID_1!A32</f>
        <v/>
      </c>
      <c r="C60" s="371" t="str" cm="1">
        <f t="array" aca="1" ref="C60" ca="1">INDIRECT($F60&amp;C$51&amp;"!"&amp;$G60)</f>
        <v/>
      </c>
      <c r="D60" s="371" t="str" cm="1">
        <f t="array" aca="1" ref="D60" ca="1">INDIRECT($F60&amp;D$51&amp;"!"&amp;$G60)</f>
        <v/>
      </c>
      <c r="E60" s="372" t="str">
        <f t="shared" ca="1" si="2"/>
        <v/>
      </c>
      <c r="F60" s="373" t="str">
        <f t="shared" ca="1" si="6"/>
        <v>SpaceStandardsID_</v>
      </c>
      <c r="G60" s="373" t="str">
        <f t="shared" ca="1" si="7"/>
        <v>A32</v>
      </c>
      <c r="H60" s="374" t="str">
        <f t="shared" ca="1" si="8"/>
        <v>SpaceStandardsID_1!A32</v>
      </c>
    </row>
  </sheetData>
  <sheetProtection algorithmName="SHA-512" hashValue="D/siuWlmqQi3YyNd/FsuoUpC0zno7GFOzlNRRhohwATrAseBUNXeEry8jmu04jILOq+zeTYd4JsT1CKh7O4wzQ==" saltValue="P23GbKvdhHe5X+ktHtQs+w==" spinCount="100000" sheet="1" objects="1" scenarios="1"/>
  <autoFilter ref="A2:J20" xr:uid="{3A978C5E-8AA7-4C8C-8395-C11E814AEE32}"/>
  <mergeCells count="3">
    <mergeCell ref="A1:C1"/>
    <mergeCell ref="E1:I1"/>
    <mergeCell ref="E16:I16"/>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55F6671-48E5-470C-98A0-7F2715A8E6D0}">
          <x14:formula1>
            <xm:f>HP_1!$N$1:$N$7</xm:f>
          </x14:formula1>
          <xm:sqref>E3:I15</xm:sqref>
        </x14:dataValidation>
        <x14:dataValidation type="list" allowBlank="1" showInputMessage="1" showErrorMessage="1" xr:uid="{0033971A-27B4-479A-84C3-57D00A5689EE}">
          <x14:formula1>
            <xm:f>HP_1!$S$1:$S$8</xm:f>
          </x14:formula1>
          <xm:sqref>B3:B15</xm:sqref>
        </x14:dataValidation>
        <x14:dataValidation type="list" allowBlank="1" showInputMessage="1" showErrorMessage="1" xr:uid="{61D6A235-370F-4E54-BE8C-D827206BC30E}">
          <x14:formula1>
            <xm:f>HP_1!$Q$2:$Q$3</xm:f>
          </x14:formula1>
          <xm:sqref>C3:C15</xm:sqref>
        </x14:dataValidation>
        <x14:dataValidation type="list" allowBlank="1" showInputMessage="1" showErrorMessage="1" xr:uid="{3874665C-B941-4DFB-83C7-82D65C5B948F}">
          <x14:formula1>
            <xm:f>HP_1!$T$2:$T$3</xm:f>
          </x14:formula1>
          <xm:sqref>D3:D15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96135-09C3-4F72-8AE8-61A624EABE6B}">
  <dimension ref="A1:AC60"/>
  <sheetViews>
    <sheetView zoomScale="55" zoomScaleNormal="55" workbookViewId="0">
      <selection activeCell="D12" sqref="D12"/>
    </sheetView>
  </sheetViews>
  <sheetFormatPr defaultColWidth="8.85546875" defaultRowHeight="24" customHeight="1"/>
  <cols>
    <col min="1" max="1" width="12.5703125" style="229" customWidth="1"/>
    <col min="2" max="2" width="25.7109375" style="229" bestFit="1" customWidth="1"/>
    <col min="3" max="3" width="18.5703125" style="229" bestFit="1" customWidth="1"/>
    <col min="4" max="4" width="84.85546875" style="229" customWidth="1"/>
    <col min="5" max="6" width="12.28515625" style="229" bestFit="1" customWidth="1"/>
    <col min="7" max="7" width="11.85546875" style="229" bestFit="1" customWidth="1"/>
    <col min="8" max="8" width="14.7109375" style="229" customWidth="1"/>
    <col min="9" max="9" width="18.7109375" style="238" bestFit="1" customWidth="1"/>
    <col min="10" max="10" width="27.5703125" style="239" customWidth="1"/>
    <col min="11" max="16384" width="8.85546875" style="229"/>
  </cols>
  <sheetData>
    <row r="1" spans="1:14" ht="133.15" customHeight="1" thickBot="1">
      <c r="A1" s="784" t="s">
        <v>474</v>
      </c>
      <c r="B1" s="785"/>
      <c r="C1" s="785"/>
      <c r="D1" s="228" t="str">
        <f ca="1">"Diagnostics cell: 
"&amp;E52&amp;"
"
&amp;E54&amp;"
"&amp;E55&amp;"
"&amp;E56</f>
        <v>Diagnostics cell: 
Air to Water
Electricity
Ecodesign applies and/or ecodesign data available
I.S. EN 16147</v>
      </c>
      <c r="E1" s="792" t="s">
        <v>466</v>
      </c>
      <c r="F1" s="793"/>
      <c r="G1" s="793"/>
      <c r="H1" s="793"/>
      <c r="I1" s="794"/>
      <c r="J1" s="230" t="s">
        <v>468</v>
      </c>
      <c r="M1" s="363" t="s">
        <v>509</v>
      </c>
      <c r="N1" s="293">
        <v>3</v>
      </c>
    </row>
    <row r="2" spans="1:14" s="238" customFormat="1" ht="37.9" customHeight="1" thickBot="1">
      <c r="A2" s="231" t="s">
        <v>469</v>
      </c>
      <c r="B2" s="232" t="s">
        <v>107</v>
      </c>
      <c r="C2" s="233" t="s">
        <v>470</v>
      </c>
      <c r="D2" s="270" t="s">
        <v>472</v>
      </c>
      <c r="E2" s="380" t="s">
        <v>81</v>
      </c>
      <c r="F2" s="381" t="s">
        <v>62</v>
      </c>
      <c r="G2" s="381" t="s">
        <v>72</v>
      </c>
      <c r="H2" s="382" t="s">
        <v>394</v>
      </c>
      <c r="I2" s="383" t="s">
        <v>485</v>
      </c>
      <c r="J2" s="239"/>
    </row>
    <row r="3" spans="1:14" ht="41.25">
      <c r="A3" s="240">
        <f ca="1">IF(AND($E$52=B3,$E$54=C3,$E$55=D3 ),1,"")</f>
        <v>1</v>
      </c>
      <c r="B3" s="241" t="s">
        <v>55</v>
      </c>
      <c r="C3" s="242" t="s">
        <v>44</v>
      </c>
      <c r="D3" s="271" t="s">
        <v>385</v>
      </c>
      <c r="E3" s="384" t="s">
        <v>81</v>
      </c>
      <c r="F3" s="384"/>
      <c r="G3" s="384"/>
      <c r="H3" s="384"/>
      <c r="I3" s="384" t="s">
        <v>485</v>
      </c>
      <c r="J3" s="272" t="str">
        <f>E3&amp;CHAR(10)&amp;F3&amp;CHAR(10)&amp;G3&amp;CHAR(10)&amp;H3&amp;CHAR(10)&amp;I3</f>
        <v>I.S. EN 16147
I.S. EN 14825/14511</v>
      </c>
    </row>
    <row r="4" spans="1:14" ht="41.25">
      <c r="A4" s="240" t="str">
        <f t="shared" ref="A4:A15" ca="1" si="0">IF(AND($E$52=B4,$E$54=C4,$E$55=D4 ),1,"")</f>
        <v/>
      </c>
      <c r="B4" s="241" t="s">
        <v>63</v>
      </c>
      <c r="C4" s="242" t="s">
        <v>44</v>
      </c>
      <c r="D4" s="271" t="s">
        <v>385</v>
      </c>
      <c r="E4" s="384" t="s">
        <v>81</v>
      </c>
      <c r="F4" s="384"/>
      <c r="G4" s="384"/>
      <c r="H4" s="384"/>
      <c r="I4" s="384" t="s">
        <v>485</v>
      </c>
      <c r="J4" s="272" t="str">
        <f t="shared" ref="J4:J15" si="1">E4&amp;CHAR(10)&amp;F4&amp;CHAR(10)&amp;G4&amp;CHAR(10)&amp;H4&amp;CHAR(10)&amp;I4</f>
        <v>I.S. EN 16147
I.S. EN 14825/14511</v>
      </c>
    </row>
    <row r="5" spans="1:14" ht="41.25">
      <c r="A5" s="240" t="str">
        <f t="shared" ca="1" si="0"/>
        <v/>
      </c>
      <c r="B5" s="241" t="s">
        <v>73</v>
      </c>
      <c r="C5" s="242" t="s">
        <v>44</v>
      </c>
      <c r="D5" s="271" t="s">
        <v>385</v>
      </c>
      <c r="E5" s="384" t="s">
        <v>81</v>
      </c>
      <c r="F5" s="384"/>
      <c r="G5" s="384"/>
      <c r="H5" s="384"/>
      <c r="I5" s="384" t="s">
        <v>485</v>
      </c>
      <c r="J5" s="272" t="str">
        <f t="shared" si="1"/>
        <v>I.S. EN 16147
I.S. EN 14825/14511</v>
      </c>
    </row>
    <row r="6" spans="1:14" ht="41.25">
      <c r="A6" s="240" t="str">
        <f t="shared" ca="1" si="0"/>
        <v/>
      </c>
      <c r="B6" s="241" t="s">
        <v>82</v>
      </c>
      <c r="C6" s="242" t="s">
        <v>44</v>
      </c>
      <c r="D6" s="271" t="s">
        <v>385</v>
      </c>
      <c r="E6" s="384" t="s">
        <v>81</v>
      </c>
      <c r="F6" s="384"/>
      <c r="G6" s="384"/>
      <c r="H6" s="384"/>
      <c r="I6" s="384" t="s">
        <v>485</v>
      </c>
      <c r="J6" s="272" t="str">
        <f t="shared" si="1"/>
        <v>I.S. EN 16147
I.S. EN 14825/14511</v>
      </c>
    </row>
    <row r="7" spans="1:14" ht="41.25">
      <c r="A7" s="240" t="str">
        <f t="shared" ca="1" si="0"/>
        <v/>
      </c>
      <c r="B7" s="241" t="s">
        <v>392</v>
      </c>
      <c r="C7" s="242" t="s">
        <v>44</v>
      </c>
      <c r="D7" s="271" t="s">
        <v>385</v>
      </c>
      <c r="E7" s="384" t="s">
        <v>81</v>
      </c>
      <c r="F7" s="384"/>
      <c r="G7" s="384"/>
      <c r="H7" s="384"/>
      <c r="I7" s="384" t="s">
        <v>485</v>
      </c>
      <c r="J7" s="272" t="str">
        <f t="shared" si="1"/>
        <v>I.S. EN 16147
I.S. EN 14825/14511</v>
      </c>
    </row>
    <row r="8" spans="1:14" ht="41.25">
      <c r="A8" s="240" t="str">
        <f t="shared" ca="1" si="0"/>
        <v/>
      </c>
      <c r="B8" s="241" t="s">
        <v>55</v>
      </c>
      <c r="C8" s="242" t="s">
        <v>388</v>
      </c>
      <c r="D8" s="271" t="s">
        <v>385</v>
      </c>
      <c r="E8" s="384"/>
      <c r="F8" s="384"/>
      <c r="G8" s="384"/>
      <c r="H8" s="384" t="s">
        <v>394</v>
      </c>
      <c r="I8" s="384"/>
      <c r="J8" s="272" t="str">
        <f t="shared" si="1"/>
        <v xml:space="preserve">
I.S. EN  13203-6
</v>
      </c>
    </row>
    <row r="9" spans="1:14" ht="41.25">
      <c r="A9" s="240" t="str">
        <f t="shared" ca="1" si="0"/>
        <v/>
      </c>
      <c r="B9" s="241" t="s">
        <v>63</v>
      </c>
      <c r="C9" s="242" t="s">
        <v>388</v>
      </c>
      <c r="D9" s="271" t="s">
        <v>385</v>
      </c>
      <c r="E9" s="384"/>
      <c r="F9" s="384"/>
      <c r="G9" s="384"/>
      <c r="H9" s="384" t="s">
        <v>394</v>
      </c>
      <c r="I9" s="384"/>
      <c r="J9" s="272" t="str">
        <f t="shared" si="1"/>
        <v xml:space="preserve">
I.S. EN  13203-6
</v>
      </c>
    </row>
    <row r="10" spans="1:14" ht="41.25">
      <c r="A10" s="240" t="str">
        <f t="shared" ca="1" si="0"/>
        <v/>
      </c>
      <c r="B10" s="241" t="s">
        <v>73</v>
      </c>
      <c r="C10" s="242" t="s">
        <v>388</v>
      </c>
      <c r="D10" s="271" t="s">
        <v>385</v>
      </c>
      <c r="E10" s="384"/>
      <c r="F10" s="384"/>
      <c r="G10" s="384"/>
      <c r="H10" s="384" t="s">
        <v>394</v>
      </c>
      <c r="I10" s="384"/>
      <c r="J10" s="272" t="str">
        <f t="shared" si="1"/>
        <v xml:space="preserve">
I.S. EN  13203-6
</v>
      </c>
    </row>
    <row r="11" spans="1:14" ht="41.25">
      <c r="A11" s="240" t="str">
        <f t="shared" ca="1" si="0"/>
        <v/>
      </c>
      <c r="B11" s="241" t="s">
        <v>55</v>
      </c>
      <c r="C11" s="242" t="s">
        <v>44</v>
      </c>
      <c r="D11" s="271" t="s">
        <v>391</v>
      </c>
      <c r="E11" s="384"/>
      <c r="F11" s="384" t="s">
        <v>62</v>
      </c>
      <c r="G11" s="384" t="s">
        <v>72</v>
      </c>
      <c r="H11" s="384"/>
      <c r="I11" s="384"/>
      <c r="J11" s="272" t="str">
        <f t="shared" si="1"/>
        <v xml:space="preserve">
I.S. EN 14511
I.S. EN 255-3
</v>
      </c>
    </row>
    <row r="12" spans="1:14" ht="41.25">
      <c r="A12" s="240" t="str">
        <f t="shared" ca="1" si="0"/>
        <v/>
      </c>
      <c r="B12" s="241" t="s">
        <v>63</v>
      </c>
      <c r="C12" s="242" t="s">
        <v>44</v>
      </c>
      <c r="D12" s="271" t="s">
        <v>391</v>
      </c>
      <c r="E12" s="384"/>
      <c r="F12" s="384" t="s">
        <v>62</v>
      </c>
      <c r="G12" s="384" t="s">
        <v>72</v>
      </c>
      <c r="H12" s="384"/>
      <c r="I12" s="384"/>
      <c r="J12" s="272" t="str">
        <f t="shared" si="1"/>
        <v xml:space="preserve">
I.S. EN 14511
I.S. EN 255-3
</v>
      </c>
    </row>
    <row r="13" spans="1:14" ht="41.25">
      <c r="A13" s="240" t="str">
        <f t="shared" ca="1" si="0"/>
        <v/>
      </c>
      <c r="B13" s="241" t="s">
        <v>73</v>
      </c>
      <c r="C13" s="242" t="s">
        <v>44</v>
      </c>
      <c r="D13" s="271" t="s">
        <v>391</v>
      </c>
      <c r="E13" s="384"/>
      <c r="F13" s="384" t="s">
        <v>62</v>
      </c>
      <c r="G13" s="384" t="s">
        <v>72</v>
      </c>
      <c r="H13" s="384"/>
      <c r="I13" s="384"/>
      <c r="J13" s="272" t="str">
        <f t="shared" si="1"/>
        <v xml:space="preserve">
I.S. EN 14511
I.S. EN 255-3
</v>
      </c>
    </row>
    <row r="14" spans="1:14" ht="41.25">
      <c r="A14" s="240" t="str">
        <f t="shared" ca="1" si="0"/>
        <v/>
      </c>
      <c r="B14" s="241" t="s">
        <v>82</v>
      </c>
      <c r="C14" s="242" t="s">
        <v>44</v>
      </c>
      <c r="D14" s="271" t="s">
        <v>391</v>
      </c>
      <c r="E14" s="384"/>
      <c r="F14" s="384" t="s">
        <v>62</v>
      </c>
      <c r="G14" s="384" t="s">
        <v>72</v>
      </c>
      <c r="H14" s="384"/>
      <c r="I14" s="384"/>
      <c r="J14" s="272" t="str">
        <f t="shared" si="1"/>
        <v xml:space="preserve">
I.S. EN 14511
I.S. EN 255-3
</v>
      </c>
    </row>
    <row r="15" spans="1:14" ht="41.25">
      <c r="A15" s="240" t="str">
        <f t="shared" ca="1" si="0"/>
        <v/>
      </c>
      <c r="B15" s="241" t="s">
        <v>392</v>
      </c>
      <c r="C15" s="242" t="s">
        <v>44</v>
      </c>
      <c r="D15" s="271" t="s">
        <v>391</v>
      </c>
      <c r="E15" s="384"/>
      <c r="F15" s="384" t="s">
        <v>62</v>
      </c>
      <c r="G15" s="384"/>
      <c r="H15" s="384"/>
      <c r="I15" s="384"/>
      <c r="J15" s="272" t="str">
        <f t="shared" si="1"/>
        <v xml:space="preserve">
I.S. EN 14511
</v>
      </c>
    </row>
    <row r="16" spans="1:14" ht="24" customHeight="1">
      <c r="A16" s="253"/>
      <c r="B16" s="365" t="str">
        <f ca="1">VLOOKUP(1,$A$3:$P$15,2,FALSE)</f>
        <v>Air to Water</v>
      </c>
      <c r="C16" s="365" t="str">
        <f ca="1">VLOOKUP(1,$A$3:$P$15,3,FALSE)</f>
        <v>Electricity</v>
      </c>
      <c r="D16" s="365" t="str">
        <f ca="1">VLOOKUP(1,$A$3:$P$15,4,FALSE)</f>
        <v>Ecodesign applies and/or ecodesign data available</v>
      </c>
      <c r="E16" s="795" t="s">
        <v>569</v>
      </c>
      <c r="F16" s="796"/>
      <c r="G16" s="796"/>
      <c r="H16" s="796"/>
      <c r="I16" s="797"/>
      <c r="J16" s="364" t="str">
        <f ca="1">VLOOKUP(1,$A$3:$P$15,10,FALSE)</f>
        <v>I.S. EN 16147
I.S. EN 14825/14511</v>
      </c>
    </row>
    <row r="17" spans="1:4" ht="24" customHeight="1">
      <c r="A17" s="253" t="str">
        <f ca="1">IF(A18&lt;&gt;"",A18,IF(A19&lt;&gt;"",A19,A20))</f>
        <v>Valid water heat pump type selected.</v>
      </c>
      <c r="B17" s="254"/>
      <c r="C17" s="254"/>
      <c r="D17" s="254"/>
    </row>
    <row r="18" spans="1:4" ht="24" customHeight="1">
      <c r="A18" s="253" t="str">
        <f ca="1">E60</f>
        <v/>
      </c>
      <c r="B18" s="254"/>
      <c r="C18" s="254"/>
      <c r="D18" s="254"/>
    </row>
    <row r="19" spans="1:4" ht="24" customHeight="1">
      <c r="A19" s="253" t="str">
        <f ca="1">IF(SUM(A3:A15)&lt;&gt;1,"ERROR: Invalid water heating heat pump type selected. See allowable options in 'water standards ID' tab","")</f>
        <v/>
      </c>
      <c r="B19" s="254"/>
      <c r="C19" s="254"/>
      <c r="D19" s="254"/>
    </row>
    <row r="20" spans="1:4" ht="24" customHeight="1">
      <c r="A20" s="255" t="s">
        <v>475</v>
      </c>
    </row>
    <row r="21" spans="1:4" ht="24" customHeight="1">
      <c r="A21" s="253"/>
    </row>
    <row r="22" spans="1:4" ht="24" customHeight="1">
      <c r="A22" s="253"/>
    </row>
    <row r="49" spans="1:29" ht="24" customHeight="1" thickBot="1"/>
    <row r="50" spans="1:29" s="95" customFormat="1" ht="39" thickBot="1">
      <c r="A50" s="376" t="s">
        <v>568</v>
      </c>
      <c r="B50" s="377" t="s">
        <v>553</v>
      </c>
      <c r="C50" s="377" t="s">
        <v>554</v>
      </c>
      <c r="D50" s="377" t="s">
        <v>555</v>
      </c>
      <c r="E50" s="378"/>
      <c r="F50" s="378"/>
      <c r="G50" s="378"/>
      <c r="H50" s="378"/>
      <c r="I50" s="379"/>
      <c r="J50" s="97"/>
      <c r="L50" s="97"/>
      <c r="AC50" s="97"/>
    </row>
    <row r="51" spans="1:29" s="95" customFormat="1" ht="69.599999999999994" customHeight="1">
      <c r="A51" s="310" t="s">
        <v>551</v>
      </c>
      <c r="B51" s="310" t="str">
        <f>RIGHT(B50)</f>
        <v>1</v>
      </c>
      <c r="C51" s="310" t="str">
        <f>RIGHT(C50)</f>
        <v>2</v>
      </c>
      <c r="D51" s="310" t="str">
        <f>RIGHT(D50)</f>
        <v>3</v>
      </c>
      <c r="E51" s="310" t="s">
        <v>552</v>
      </c>
      <c r="F51" s="311" t="s">
        <v>547</v>
      </c>
      <c r="G51" s="311" t="s">
        <v>550</v>
      </c>
      <c r="H51" s="311" t="s">
        <v>556</v>
      </c>
      <c r="I51" s="97"/>
      <c r="J51" s="97"/>
      <c r="L51" s="97"/>
      <c r="AC51" s="97"/>
    </row>
    <row r="52" spans="1:29" s="95" customFormat="1" ht="31.5">
      <c r="A52" s="316" t="str">
        <f>HP_1!A65</f>
        <v>Type of heat pump</v>
      </c>
      <c r="B52" s="356" t="str">
        <f>HP_1!B65</f>
        <v>Air to Water</v>
      </c>
      <c r="C52" s="357" t="str" cm="1">
        <f t="array" aca="1" ref="C52" ca="1">INDIRECT($F52&amp;C$51&amp;"!"&amp;$G52)</f>
        <v>Air to Water</v>
      </c>
      <c r="D52" s="357" t="str" cm="1">
        <f t="array" aca="1" ref="D52" ca="1">INDIRECT($F52&amp;D$51&amp;"!"&amp;$G52)</f>
        <v>Air to Water</v>
      </c>
      <c r="E52" s="372" t="str">
        <f ca="1">VLOOKUP(A52,A52:D52,$N$1+1,FALSE)</f>
        <v>Air to Water</v>
      </c>
      <c r="F52" s="359" t="str">
        <f ca="1">LEFT(H52,FIND("1",H52)-1)</f>
        <v>HP_</v>
      </c>
      <c r="G52" s="359" t="str">
        <f ca="1">RIGHT(H52,LEN(H52)-FIND("!",H52))</f>
        <v>B65</v>
      </c>
      <c r="H52" s="360" t="str">
        <f ca="1">SUBSTITUTE( _xlfn.FORMULATEXT(B52),"=","")</f>
        <v>HP_1!B65</v>
      </c>
      <c r="L52" s="97"/>
      <c r="AC52" s="97"/>
    </row>
    <row r="53" spans="1:29" s="95" customFormat="1" ht="78.75">
      <c r="A53" s="316" t="str">
        <f>HP_1!D10</f>
        <v xml:space="preserve">Is this a Low Temperature Heat Pump? </v>
      </c>
      <c r="B53" s="362" t="str">
        <f>HP_1!G10</f>
        <v>Not low temperature heat pump</v>
      </c>
      <c r="C53" s="357" t="str" cm="1">
        <f t="array" aca="1" ref="C53" ca="1">INDIRECT($F53&amp;C$51&amp;"!"&amp;$G53)</f>
        <v>Not low temperature heat pump</v>
      </c>
      <c r="D53" s="357" t="str" cm="1">
        <f t="array" aca="1" ref="D53" ca="1">INDIRECT($F53&amp;D$51&amp;"!"&amp;$G53)</f>
        <v>Not low temperature heat pump</v>
      </c>
      <c r="E53" s="372" t="str">
        <f t="shared" ref="E53:E60" ca="1" si="2">VLOOKUP(A53,A53:D53,$N$1+1,FALSE)</f>
        <v>Not low temperature heat pump</v>
      </c>
      <c r="F53" s="359" t="str">
        <f ca="1">LEFT(H53,FIND("1",H53)-1)</f>
        <v>HP_</v>
      </c>
      <c r="G53" s="359" t="str">
        <f ca="1">RIGHT(H53,LEN(H53)-FIND("!",H53))</f>
        <v>G10</v>
      </c>
      <c r="H53" s="360" t="str">
        <f ca="1">SUBSTITUTE( _xlfn.FORMULATEXT(B53),"=","")</f>
        <v>HP_1!G10</v>
      </c>
      <c r="L53" s="97"/>
      <c r="AC53" s="97"/>
    </row>
    <row r="54" spans="1:29" s="95" customFormat="1" ht="60.6" customHeight="1">
      <c r="A54" s="316" t="str">
        <f>HP_1!D63</f>
        <v xml:space="preserve">Is this heat pump electric or gas (GAHP)? </v>
      </c>
      <c r="B54" s="361" t="str">
        <f>HP_1!G63</f>
        <v>Electricity</v>
      </c>
      <c r="C54" s="357" t="str" cm="1">
        <f t="array" aca="1" ref="C54" ca="1">INDIRECT($F54&amp;C$51&amp;"!"&amp;$G54)</f>
        <v>Electricity</v>
      </c>
      <c r="D54" s="357" t="str" cm="1">
        <f t="array" aca="1" ref="D54" ca="1">INDIRECT($F54&amp;D$51&amp;"!"&amp;$G54)</f>
        <v>Electricity</v>
      </c>
      <c r="E54" s="372" t="str">
        <f t="shared" ca="1" si="2"/>
        <v>Electricity</v>
      </c>
      <c r="F54" s="359" t="str">
        <f t="shared" ref="F54:F56" ca="1" si="3">LEFT(H54,FIND("1",H54)-1)</f>
        <v>HP_</v>
      </c>
      <c r="G54" s="359" t="str">
        <f t="shared" ref="G54:G56" ca="1" si="4">RIGHT(H54,LEN(H54)-FIND("!",H54))</f>
        <v>G63</v>
      </c>
      <c r="H54" s="360" t="str">
        <f t="shared" ref="H54:H56" ca="1" si="5">SUBSTITUTE( _xlfn.FORMULATEXT(B54),"=","")</f>
        <v>HP_1!G63</v>
      </c>
      <c r="L54" s="97"/>
      <c r="AC54" s="97"/>
    </row>
    <row r="55" spans="1:29" s="95" customFormat="1" ht="110.25">
      <c r="A55" s="316" t="str">
        <f>HP_1!D64</f>
        <v>What is the status of this heat pump regarding Ecodesign data?</v>
      </c>
      <c r="B55" s="362" t="str">
        <f>HP_1!G64</f>
        <v>Ecodesign applies and/or ecodesign data available</v>
      </c>
      <c r="C55" s="357" t="str" cm="1">
        <f t="array" aca="1" ref="C55" ca="1">INDIRECT($F55&amp;C$51&amp;"!"&amp;$G55)</f>
        <v>Ecodesign applies and/or ecodesign data available</v>
      </c>
      <c r="D55" s="357" t="str" cm="1">
        <f t="array" aca="1" ref="D55" ca="1">INDIRECT($F55&amp;D$51&amp;"!"&amp;$G55)</f>
        <v>Ecodesign applies and/or ecodesign data available</v>
      </c>
      <c r="E55" s="372" t="str">
        <f t="shared" ca="1" si="2"/>
        <v>Ecodesign applies and/or ecodesign data available</v>
      </c>
      <c r="F55" s="359" t="str">
        <f t="shared" ca="1" si="3"/>
        <v>HP_</v>
      </c>
      <c r="G55" s="359" t="str">
        <f t="shared" ca="1" si="4"/>
        <v>G64</v>
      </c>
      <c r="H55" s="360" t="str">
        <f t="shared" ca="1" si="5"/>
        <v>HP_1!G64</v>
      </c>
      <c r="L55" s="97"/>
      <c r="AC55" s="97"/>
    </row>
    <row r="56" spans="1:29" s="95" customFormat="1" ht="63">
      <c r="A56" s="316" t="str">
        <f>HP_1!A68</f>
        <v>Water Heating Test Standard</v>
      </c>
      <c r="B56" s="312" t="str">
        <f>HP_1!B68</f>
        <v>I.S. EN 16147</v>
      </c>
      <c r="C56" s="357" t="str" cm="1">
        <f t="array" aca="1" ref="C56" ca="1">INDIRECT($F56&amp;C$51&amp;"!"&amp;$G56)</f>
        <v>I.S. EN 16147</v>
      </c>
      <c r="D56" s="357" t="str" cm="1">
        <f t="array" aca="1" ref="D56" ca="1">INDIRECT($F56&amp;D$51&amp;"!"&amp;$G56)</f>
        <v>I.S. EN 16147</v>
      </c>
      <c r="E56" s="372" t="str">
        <f t="shared" ca="1" si="2"/>
        <v>I.S. EN 16147</v>
      </c>
      <c r="F56" s="359" t="str">
        <f t="shared" ca="1" si="3"/>
        <v>HP_</v>
      </c>
      <c r="G56" s="359" t="str">
        <f t="shared" ca="1" si="4"/>
        <v>B68</v>
      </c>
      <c r="H56" s="360" t="str">
        <f t="shared" ca="1" si="5"/>
        <v>HP_1!B68</v>
      </c>
      <c r="L56" s="97"/>
      <c r="AC56" s="97"/>
    </row>
    <row r="57" spans="1:29" ht="53.45" customHeight="1">
      <c r="A57" s="316" t="str">
        <f>HP_1!O10</f>
        <v>Space Heating served by HP</v>
      </c>
      <c r="B57" s="370" t="b">
        <f>HP_1!N10</f>
        <v>1</v>
      </c>
      <c r="C57" s="371" t="b" cm="1">
        <f t="array" aca="1" ref="C57" ca="1">INDIRECT($F57&amp;C$51&amp;"!"&amp;$G57)</f>
        <v>0</v>
      </c>
      <c r="D57" s="371" t="b" cm="1">
        <f t="array" aca="1" ref="D57" ca="1">INDIRECT($F57&amp;D$51&amp;"!"&amp;$G57)</f>
        <v>0</v>
      </c>
      <c r="E57" s="372" t="b">
        <f t="shared" ca="1" si="2"/>
        <v>0</v>
      </c>
      <c r="F57" s="373" t="str">
        <f ca="1">LEFT(H57,FIND("1",H57)-1)</f>
        <v>HP_</v>
      </c>
      <c r="G57" s="373" t="str">
        <f ca="1">RIGHT(H57,LEN(H57)-FIND("!",H57))</f>
        <v>N10</v>
      </c>
      <c r="H57" s="374" t="str">
        <f ca="1">SUBSTITUTE( _xlfn.FORMULATEXT(B57),"=","")</f>
        <v>HP_1!N10</v>
      </c>
      <c r="I57" s="229"/>
      <c r="J57" s="238"/>
      <c r="K57" s="268"/>
    </row>
    <row r="58" spans="1:29" ht="72" customHeight="1">
      <c r="A58" s="316" t="str">
        <f>HP_1!O11</f>
        <v>Hot Water served by HP</v>
      </c>
      <c r="B58" s="370" t="b">
        <f>HP_1!N11</f>
        <v>1</v>
      </c>
      <c r="C58" s="371" t="b" cm="1">
        <f t="array" aca="1" ref="C58" ca="1">INDIRECT($F58&amp;C$51&amp;"!"&amp;$G58)</f>
        <v>0</v>
      </c>
      <c r="D58" s="371" t="b" cm="1">
        <f t="array" aca="1" ref="D58" ca="1">INDIRECT($F58&amp;D$51&amp;"!"&amp;$G58)</f>
        <v>0</v>
      </c>
      <c r="E58" s="372" t="b">
        <f t="shared" ca="1" si="2"/>
        <v>0</v>
      </c>
      <c r="F58" s="373" t="str">
        <f t="shared" ref="F58:F60" ca="1" si="6">LEFT(H58,FIND("1",H58)-1)</f>
        <v>HP_</v>
      </c>
      <c r="G58" s="373" t="str">
        <f t="shared" ref="G58:G60" ca="1" si="7">RIGHT(H58,LEN(H58)-FIND("!",H58))</f>
        <v>N11</v>
      </c>
      <c r="H58" s="374" t="str">
        <f t="shared" ref="H58:H60" ca="1" si="8">SUBSTITUTE( _xlfn.FORMULATEXT(B58),"=","")</f>
        <v>HP_1!N11</v>
      </c>
      <c r="I58" s="229"/>
      <c r="J58" s="238"/>
      <c r="K58" s="268"/>
    </row>
    <row r="59" spans="1:29" ht="65.45" customHeight="1">
      <c r="A59" s="316" t="str">
        <f>HP_1!O12</f>
        <v>Same HP for Space and Water Heating</v>
      </c>
      <c r="B59" s="370" t="b">
        <f>HP_1!N12</f>
        <v>1</v>
      </c>
      <c r="C59" s="371" t="b" cm="1">
        <f t="array" aca="1" ref="C59" ca="1">INDIRECT($F59&amp;C$51&amp;"!"&amp;$G59)</f>
        <v>0</v>
      </c>
      <c r="D59" s="371" t="b" cm="1">
        <f t="array" aca="1" ref="D59" ca="1">INDIRECT($F59&amp;D$51&amp;"!"&amp;$G59)</f>
        <v>0</v>
      </c>
      <c r="E59" s="372" t="b">
        <f t="shared" ca="1" si="2"/>
        <v>0</v>
      </c>
      <c r="F59" s="373" t="str">
        <f t="shared" ca="1" si="6"/>
        <v>HP_</v>
      </c>
      <c r="G59" s="373" t="str">
        <f t="shared" ca="1" si="7"/>
        <v>N12</v>
      </c>
      <c r="H59" s="374" t="str">
        <f t="shared" ca="1" si="8"/>
        <v>HP_1!N12</v>
      </c>
      <c r="I59" s="229"/>
      <c r="J59" s="238"/>
      <c r="K59" s="268"/>
    </row>
    <row r="60" spans="1:29" ht="141" customHeight="1">
      <c r="A60" s="316" t="s">
        <v>570</v>
      </c>
      <c r="B60" s="370" t="str">
        <f>SpaceStandardsID_1!A32</f>
        <v/>
      </c>
      <c r="C60" s="371" t="str" cm="1">
        <f t="array" aca="1" ref="C60" ca="1">INDIRECT($F60&amp;C$51&amp;"!"&amp;$G60)</f>
        <v/>
      </c>
      <c r="D60" s="371" t="str" cm="1">
        <f t="array" aca="1" ref="D60" ca="1">INDIRECT($F60&amp;D$51&amp;"!"&amp;$G60)</f>
        <v/>
      </c>
      <c r="E60" s="372" t="str">
        <f t="shared" ca="1" si="2"/>
        <v/>
      </c>
      <c r="F60" s="373" t="str">
        <f t="shared" ca="1" si="6"/>
        <v>SpaceStandardsID_</v>
      </c>
      <c r="G60" s="373" t="str">
        <f t="shared" ca="1" si="7"/>
        <v>A32</v>
      </c>
      <c r="H60" s="374" t="str">
        <f t="shared" ca="1" si="8"/>
        <v>SpaceStandardsID_1!A32</v>
      </c>
    </row>
  </sheetData>
  <sheetProtection algorithmName="SHA-512" hashValue="Rxv2N4RGXLNHylvI+Fpcp+h30WjJfLkqdWbZhN6rgosDgIWUsokFWpJ33ZXqgAuRn5QXw2pYyI1Lpgs+oFsefQ==" saltValue="Nh9U5+JU0J0KzxlNcBauGg==" spinCount="100000" sheet="1" objects="1" scenarios="1"/>
  <autoFilter ref="A2:J20" xr:uid="{3A978C5E-8AA7-4C8C-8395-C11E814AEE32}"/>
  <mergeCells count="3">
    <mergeCell ref="A1:C1"/>
    <mergeCell ref="E1:I1"/>
    <mergeCell ref="E16:I16"/>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BF5E95D-F54C-4D4F-BE8E-3ACA3E42EBEE}">
          <x14:formula1>
            <xm:f>HP_1!$T$2:$T$3</xm:f>
          </x14:formula1>
          <xm:sqref>D3:D15</xm:sqref>
        </x14:dataValidation>
        <x14:dataValidation type="list" allowBlank="1" showInputMessage="1" showErrorMessage="1" xr:uid="{4CB6D02B-1E1E-47A7-9267-DD2FC1245290}">
          <x14:formula1>
            <xm:f>HP_1!$Q$2:$Q$3</xm:f>
          </x14:formula1>
          <xm:sqref>C3:C15</xm:sqref>
        </x14:dataValidation>
        <x14:dataValidation type="list" allowBlank="1" showInputMessage="1" showErrorMessage="1" xr:uid="{5202E1BD-32BA-475B-B6E5-C6B043C4992D}">
          <x14:formula1>
            <xm:f>HP_1!$S$1:$S$8</xm:f>
          </x14:formula1>
          <xm:sqref>B3:B15</xm:sqref>
        </x14:dataValidation>
        <x14:dataValidation type="list" allowBlank="1" showInputMessage="1" showErrorMessage="1" xr:uid="{FBC3D3C2-7206-4C5F-9EE4-75526EDEF667}">
          <x14:formula1>
            <xm:f>HP_1!$N$1:$N$7</xm:f>
          </x14:formula1>
          <xm:sqref>E3:I15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30"/>
  <sheetViews>
    <sheetView topLeftCell="A16" zoomScale="70" zoomScaleNormal="70" workbookViewId="0">
      <selection activeCell="O22" sqref="O22"/>
    </sheetView>
  </sheetViews>
  <sheetFormatPr defaultRowHeight="12.75"/>
  <cols>
    <col min="2" max="2" width="15.140625" customWidth="1"/>
    <col min="5" max="5" width="9.7109375" customWidth="1"/>
    <col min="6" max="6" width="14.28515625" customWidth="1"/>
    <col min="10" max="10" width="26" customWidth="1"/>
  </cols>
  <sheetData>
    <row r="1" spans="1:10" ht="18">
      <c r="A1" s="8" t="s">
        <v>2</v>
      </c>
      <c r="B1" s="9"/>
      <c r="C1" s="9"/>
      <c r="D1" s="9"/>
      <c r="E1" s="9"/>
      <c r="F1" s="9"/>
      <c r="G1" s="9"/>
      <c r="H1" s="9"/>
      <c r="I1" s="9"/>
      <c r="J1" s="9"/>
    </row>
    <row r="2" spans="1:10">
      <c r="A2" s="5"/>
      <c r="B2" s="5"/>
      <c r="C2" s="5"/>
      <c r="D2" s="5"/>
      <c r="E2" s="5"/>
      <c r="F2" s="5"/>
      <c r="G2" s="5"/>
      <c r="H2" s="5"/>
      <c r="I2" s="5"/>
      <c r="J2" s="5"/>
    </row>
    <row r="3" spans="1:10" ht="15.75">
      <c r="A3" s="11"/>
      <c r="B3" s="12" t="s">
        <v>3</v>
      </c>
      <c r="C3" s="11"/>
      <c r="D3" s="11"/>
      <c r="E3" s="11"/>
      <c r="F3" s="11"/>
      <c r="G3" s="11"/>
      <c r="H3" s="11"/>
      <c r="I3" s="11"/>
      <c r="J3" s="11"/>
    </row>
    <row r="4" spans="1:10">
      <c r="A4" s="5"/>
      <c r="B4" s="11" t="s">
        <v>4</v>
      </c>
      <c r="C4" s="124"/>
      <c r="D4" s="124"/>
      <c r="E4" s="7"/>
      <c r="F4" s="7"/>
      <c r="G4" s="7"/>
      <c r="H4" s="5"/>
      <c r="I4" s="5"/>
      <c r="J4" s="5"/>
    </row>
    <row r="5" spans="1:10">
      <c r="A5" s="5"/>
      <c r="B5" s="7"/>
      <c r="C5" s="124"/>
      <c r="D5" s="124"/>
      <c r="E5" s="7"/>
      <c r="F5" s="7"/>
      <c r="G5" s="7"/>
      <c r="H5" s="5"/>
      <c r="I5" s="5"/>
      <c r="J5" s="5"/>
    </row>
    <row r="6" spans="1:10">
      <c r="A6" s="5"/>
      <c r="B6" s="11" t="s">
        <v>5</v>
      </c>
      <c r="C6" s="124"/>
      <c r="D6" s="124"/>
      <c r="E6" s="7"/>
      <c r="F6" s="7"/>
      <c r="G6" s="7"/>
      <c r="H6" s="5"/>
      <c r="I6" s="5"/>
      <c r="J6" s="5"/>
    </row>
    <row r="7" spans="1:10">
      <c r="A7" s="5"/>
      <c r="B7" s="7"/>
      <c r="C7" s="124"/>
      <c r="D7" s="124"/>
      <c r="E7" s="7"/>
      <c r="F7" s="7"/>
      <c r="G7" s="7"/>
      <c r="H7" s="5"/>
      <c r="I7" s="5"/>
      <c r="J7" s="5"/>
    </row>
    <row r="8" spans="1:10">
      <c r="A8" s="11"/>
      <c r="B8" s="13" t="s">
        <v>6</v>
      </c>
      <c r="C8" s="11"/>
      <c r="D8" s="13" t="s">
        <v>7</v>
      </c>
      <c r="E8" s="11"/>
      <c r="F8" s="11"/>
      <c r="G8" s="11"/>
      <c r="H8" s="11"/>
      <c r="I8" s="11"/>
      <c r="J8" s="11"/>
    </row>
    <row r="9" spans="1:10">
      <c r="A9" s="11"/>
      <c r="B9" s="20" t="s">
        <v>8</v>
      </c>
      <c r="C9" s="11"/>
      <c r="D9" s="722" t="s">
        <v>9</v>
      </c>
      <c r="E9" s="722"/>
      <c r="F9" s="722"/>
      <c r="G9" s="11"/>
      <c r="H9" s="11"/>
      <c r="I9" s="11"/>
      <c r="J9" s="11"/>
    </row>
    <row r="10" spans="1:10">
      <c r="A10" s="11"/>
      <c r="B10" s="14" t="s">
        <v>10</v>
      </c>
      <c r="C10" s="11"/>
      <c r="D10" s="721" t="s">
        <v>11</v>
      </c>
      <c r="E10" s="721"/>
      <c r="F10" s="721"/>
      <c r="G10" s="11"/>
      <c r="H10" s="11"/>
      <c r="I10" s="11"/>
      <c r="J10" s="11"/>
    </row>
    <row r="11" spans="1:10">
      <c r="A11" s="11"/>
      <c r="B11" s="15" t="s">
        <v>12</v>
      </c>
      <c r="C11" s="11"/>
      <c r="D11" s="720" t="s">
        <v>13</v>
      </c>
      <c r="E11" s="720"/>
      <c r="F11" s="720"/>
      <c r="G11" s="11"/>
      <c r="H11" s="11"/>
      <c r="I11" s="11"/>
      <c r="J11" s="11"/>
    </row>
    <row r="12" spans="1:10">
      <c r="A12" s="11"/>
      <c r="B12" s="11" t="s">
        <v>14</v>
      </c>
      <c r="C12" s="11"/>
      <c r="D12" s="719" t="s">
        <v>15</v>
      </c>
      <c r="E12" s="719"/>
      <c r="F12" s="719"/>
      <c r="G12" s="11"/>
      <c r="H12" s="11"/>
      <c r="I12" s="11"/>
      <c r="J12" s="11"/>
    </row>
    <row r="13" spans="1:10">
      <c r="A13" s="5"/>
      <c r="B13" s="5"/>
      <c r="C13" s="5"/>
      <c r="D13" s="5"/>
      <c r="E13" s="7"/>
      <c r="F13" s="7"/>
      <c r="G13" s="7"/>
      <c r="H13" s="5"/>
      <c r="I13" s="5"/>
      <c r="J13" s="5"/>
    </row>
    <row r="14" spans="1:10" ht="15.75">
      <c r="A14" s="11"/>
      <c r="B14" s="12" t="s">
        <v>16</v>
      </c>
      <c r="C14" s="11"/>
      <c r="D14" s="11"/>
      <c r="E14" s="11"/>
      <c r="F14" s="11"/>
      <c r="G14" s="11"/>
      <c r="H14" s="11"/>
      <c r="I14" s="11"/>
      <c r="J14" s="11"/>
    </row>
    <row r="15" spans="1:10">
      <c r="A15" s="11"/>
      <c r="B15" s="725" t="s">
        <v>17</v>
      </c>
      <c r="C15" s="725"/>
      <c r="D15" s="725"/>
      <c r="E15" s="725"/>
      <c r="F15" s="725"/>
      <c r="G15" s="725"/>
      <c r="H15" s="725"/>
      <c r="I15" s="725"/>
      <c r="J15" s="725"/>
    </row>
    <row r="16" spans="1:10">
      <c r="A16" s="5"/>
      <c r="B16" s="5"/>
      <c r="C16" s="5"/>
      <c r="D16" s="5"/>
      <c r="E16" s="7"/>
      <c r="F16" s="7"/>
      <c r="G16" s="7"/>
      <c r="H16" s="5"/>
      <c r="I16" s="5"/>
      <c r="J16" s="5"/>
    </row>
    <row r="17" spans="1:22" ht="36.75" customHeight="1">
      <c r="A17" s="5"/>
      <c r="B17" s="21" t="s">
        <v>18</v>
      </c>
      <c r="C17" s="726" t="s">
        <v>19</v>
      </c>
      <c r="D17" s="727"/>
      <c r="E17" s="727"/>
      <c r="F17" s="724"/>
      <c r="G17" s="726" t="s">
        <v>20</v>
      </c>
      <c r="H17" s="724"/>
      <c r="I17" s="724"/>
      <c r="J17" s="724"/>
    </row>
    <row r="18" spans="1:22" ht="49.5" customHeight="1">
      <c r="A18" s="5"/>
      <c r="B18" s="22" t="s">
        <v>21</v>
      </c>
      <c r="C18" s="723" t="s">
        <v>599</v>
      </c>
      <c r="D18" s="724"/>
      <c r="E18" s="724"/>
      <c r="F18" s="724"/>
      <c r="G18" s="723" t="s">
        <v>22</v>
      </c>
      <c r="H18" s="728"/>
      <c r="I18" s="728"/>
      <c r="J18" s="724"/>
    </row>
    <row r="19" spans="1:22" s="39" customFormat="1" ht="56.25" customHeight="1">
      <c r="A19" s="5"/>
      <c r="B19" s="22" t="s">
        <v>365</v>
      </c>
      <c r="C19" s="723" t="s">
        <v>375</v>
      </c>
      <c r="D19" s="724"/>
      <c r="E19" s="724"/>
      <c r="F19" s="724"/>
      <c r="G19" s="723" t="s">
        <v>600</v>
      </c>
      <c r="H19" s="728"/>
      <c r="I19" s="728"/>
      <c r="J19" s="724"/>
      <c r="M19" s="6"/>
      <c r="N19" s="6"/>
      <c r="O19" s="6"/>
      <c r="P19" s="6"/>
      <c r="Q19" s="6"/>
      <c r="R19" s="6"/>
      <c r="S19" s="6"/>
      <c r="T19" s="6"/>
      <c r="U19" s="6"/>
      <c r="V19" s="17"/>
    </row>
    <row r="20" spans="1:22" s="39" customFormat="1" ht="56.25" customHeight="1">
      <c r="A20" s="5"/>
      <c r="B20" s="22" t="s">
        <v>524</v>
      </c>
      <c r="C20" s="723" t="s">
        <v>521</v>
      </c>
      <c r="D20" s="724"/>
      <c r="E20" s="724"/>
      <c r="F20" s="724"/>
      <c r="G20" s="723" t="s">
        <v>376</v>
      </c>
      <c r="H20" s="728"/>
      <c r="I20" s="728"/>
      <c r="J20" s="724"/>
      <c r="M20" s="6"/>
      <c r="N20" s="6"/>
      <c r="O20" s="6"/>
      <c r="P20" s="6"/>
      <c r="Q20" s="6"/>
      <c r="R20" s="6"/>
      <c r="S20" s="6"/>
      <c r="T20" s="6"/>
      <c r="U20" s="6"/>
      <c r="V20" s="17"/>
    </row>
    <row r="21" spans="1:22" s="39" customFormat="1" ht="49.5" customHeight="1">
      <c r="A21" s="5"/>
      <c r="B21" s="22" t="s">
        <v>523</v>
      </c>
      <c r="C21" s="723" t="s">
        <v>522</v>
      </c>
      <c r="D21" s="724"/>
      <c r="E21" s="724"/>
      <c r="F21" s="724"/>
      <c r="G21" s="723" t="s">
        <v>336</v>
      </c>
      <c r="H21" s="728"/>
      <c r="I21" s="728"/>
      <c r="J21" s="724"/>
      <c r="M21" s="6"/>
      <c r="N21" s="6"/>
      <c r="O21" s="6"/>
      <c r="P21" s="6"/>
      <c r="Q21" s="6"/>
      <c r="R21" s="6"/>
      <c r="S21" s="6"/>
      <c r="T21" s="6"/>
      <c r="U21" s="6"/>
      <c r="V21" s="128"/>
    </row>
    <row r="22" spans="1:22" s="39" customFormat="1" ht="49.5" customHeight="1">
      <c r="A22" s="5"/>
      <c r="B22" s="22" t="s">
        <v>525</v>
      </c>
      <c r="C22" s="723" t="s">
        <v>522</v>
      </c>
      <c r="D22" s="724"/>
      <c r="E22" s="724"/>
      <c r="F22" s="724"/>
      <c r="G22" s="723" t="s">
        <v>337</v>
      </c>
      <c r="H22" s="728"/>
      <c r="I22" s="728"/>
      <c r="J22" s="724"/>
      <c r="M22" s="6"/>
      <c r="N22" s="6"/>
      <c r="O22" s="6"/>
      <c r="P22" s="6"/>
      <c r="Q22" s="6"/>
      <c r="R22" s="6"/>
      <c r="S22" s="6"/>
      <c r="T22" s="6"/>
      <c r="U22" s="6"/>
      <c r="V22" s="129"/>
    </row>
    <row r="23" spans="1:22" s="39" customFormat="1" ht="49.5" customHeight="1">
      <c r="A23" s="5"/>
      <c r="B23" s="22" t="s">
        <v>338</v>
      </c>
      <c r="C23" s="723" t="s">
        <v>14</v>
      </c>
      <c r="D23" s="724"/>
      <c r="E23" s="724"/>
      <c r="F23" s="724"/>
      <c r="G23" s="723" t="s">
        <v>339</v>
      </c>
      <c r="H23" s="728"/>
      <c r="I23" s="728"/>
      <c r="J23" s="724"/>
      <c r="M23" s="6"/>
      <c r="N23" s="6"/>
      <c r="O23" s="6"/>
      <c r="P23" s="6"/>
      <c r="Q23" s="6"/>
      <c r="R23" s="6"/>
      <c r="S23" s="6"/>
      <c r="T23" s="6"/>
      <c r="U23" s="6"/>
      <c r="V23" s="18"/>
    </row>
    <row r="24" spans="1:22" s="39" customFormat="1" ht="49.5" customHeight="1">
      <c r="A24" s="5"/>
      <c r="B24" s="22" t="s">
        <v>527</v>
      </c>
      <c r="C24" s="723" t="s">
        <v>526</v>
      </c>
      <c r="D24" s="724"/>
      <c r="E24" s="724"/>
      <c r="F24" s="724"/>
      <c r="G24" s="723" t="s">
        <v>479</v>
      </c>
      <c r="H24" s="728"/>
      <c r="I24" s="728"/>
      <c r="J24" s="724"/>
      <c r="M24" s="6"/>
      <c r="N24" s="6"/>
      <c r="O24" s="6"/>
      <c r="P24" s="6"/>
      <c r="Q24" s="6"/>
      <c r="R24" s="6"/>
      <c r="S24" s="6"/>
      <c r="T24" s="6"/>
      <c r="U24" s="6"/>
      <c r="V24" s="18"/>
    </row>
    <row r="25" spans="1:22">
      <c r="M25" s="6"/>
      <c r="N25" s="6"/>
      <c r="O25" s="6"/>
      <c r="P25" s="6"/>
      <c r="Q25" s="6"/>
      <c r="R25" s="6"/>
      <c r="S25" s="6"/>
      <c r="T25" s="130"/>
      <c r="U25" s="16"/>
      <c r="V25" s="19"/>
    </row>
    <row r="26" spans="1:22">
      <c r="M26" s="6"/>
      <c r="N26" s="6"/>
      <c r="O26" s="6"/>
      <c r="P26" s="6"/>
      <c r="Q26" s="6"/>
      <c r="R26" s="6"/>
      <c r="S26" s="6"/>
      <c r="T26" s="16"/>
      <c r="U26" s="16"/>
      <c r="V26" s="17"/>
    </row>
    <row r="27" spans="1:22">
      <c r="M27" s="6"/>
      <c r="N27" s="6"/>
      <c r="O27" s="6"/>
      <c r="P27" s="6"/>
      <c r="Q27" s="6"/>
      <c r="R27" s="6"/>
      <c r="S27" s="6"/>
      <c r="T27" s="16"/>
      <c r="U27" s="16"/>
      <c r="V27" s="33"/>
    </row>
    <row r="28" spans="1:22">
      <c r="M28" s="6"/>
      <c r="N28" s="6"/>
      <c r="O28" s="6"/>
      <c r="P28" s="6"/>
      <c r="Q28" s="6"/>
      <c r="R28" s="6"/>
      <c r="S28" s="6"/>
      <c r="T28" s="16"/>
      <c r="U28" s="16"/>
      <c r="V28" s="127"/>
    </row>
    <row r="29" spans="1:22">
      <c r="M29" s="6"/>
      <c r="N29" s="6"/>
      <c r="O29" s="6"/>
      <c r="P29" s="6"/>
      <c r="Q29" s="6"/>
      <c r="R29" s="6"/>
      <c r="S29" s="6"/>
      <c r="T29" s="16"/>
      <c r="U29" s="16"/>
      <c r="V29" s="19"/>
    </row>
    <row r="30" spans="1:22">
      <c r="M30" s="6"/>
      <c r="N30" s="6"/>
      <c r="O30" s="6"/>
      <c r="P30" s="6"/>
      <c r="Q30" s="6"/>
      <c r="R30" s="6"/>
      <c r="S30" s="6"/>
      <c r="T30" s="16"/>
      <c r="U30" s="130"/>
      <c r="V30" s="19"/>
    </row>
  </sheetData>
  <sheetProtection algorithmName="SHA-512" hashValue="McOVcrsIAEQqIwcdEekEh03ZRbrWir+h3al+YZaCes8EzKmKCdmkgbn8laNH6DFBsReYPErASCJjZdfTrId7uQ==" saltValue="EhfONXMtq2UMcyji8OVlLg==" spinCount="100000" sheet="1" objects="1" scenarios="1"/>
  <mergeCells count="21">
    <mergeCell ref="C22:F22"/>
    <mergeCell ref="G22:J22"/>
    <mergeCell ref="C23:F23"/>
    <mergeCell ref="G23:J23"/>
    <mergeCell ref="C24:F24"/>
    <mergeCell ref="G24:J24"/>
    <mergeCell ref="D12:F12"/>
    <mergeCell ref="D11:F11"/>
    <mergeCell ref="D10:F10"/>
    <mergeCell ref="D9:F9"/>
    <mergeCell ref="C21:F21"/>
    <mergeCell ref="B15:J15"/>
    <mergeCell ref="C17:F17"/>
    <mergeCell ref="G17:J17"/>
    <mergeCell ref="C18:F18"/>
    <mergeCell ref="G18:J18"/>
    <mergeCell ref="C19:F19"/>
    <mergeCell ref="G19:J19"/>
    <mergeCell ref="C20:F20"/>
    <mergeCell ref="G20:J20"/>
    <mergeCell ref="G21:J21"/>
  </mergeCells>
  <dataValidations count="2">
    <dataValidation type="list" allowBlank="1" showInputMessage="1" showErrorMessage="1" errorTitle="DEAP " error="Please select item from drop-down list." sqref="T25" xr:uid="{00000000-0002-0000-0100-000000000000}">
      <formula1>$A$20:$A$22</formula1>
    </dataValidation>
    <dataValidation type="list" allowBlank="1" showInputMessage="1" showErrorMessage="1" errorTitle="DEAP " error="Please select item from drop-down list." sqref="U30" xr:uid="{00000000-0002-0000-0100-000001000000}">
      <formula1>$A$20:$A$21</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dimension ref="A1:L52"/>
  <sheetViews>
    <sheetView workbookViewId="0">
      <selection activeCell="D13" sqref="D13"/>
    </sheetView>
  </sheetViews>
  <sheetFormatPr defaultColWidth="9.140625" defaultRowHeight="12.75"/>
  <cols>
    <col min="1" max="1" width="9.140625" style="39"/>
    <col min="2" max="2" width="44.7109375" style="39" customWidth="1"/>
    <col min="3" max="3" width="19.140625" style="39" customWidth="1"/>
    <col min="4" max="4" width="18.28515625" style="39" customWidth="1"/>
    <col min="5" max="5" width="18.5703125" style="39" customWidth="1"/>
    <col min="6" max="6" width="31.140625" style="39" customWidth="1"/>
    <col min="7" max="7" width="28.42578125" style="39" customWidth="1"/>
    <col min="8" max="9" width="9.140625" style="39"/>
    <col min="10" max="10" width="12.7109375" style="3" customWidth="1"/>
    <col min="11" max="12" width="9.140625" style="3"/>
    <col min="13" max="16384" width="9.140625" style="39"/>
  </cols>
  <sheetData>
    <row r="1" spans="1:12">
      <c r="B1" s="39">
        <v>16</v>
      </c>
      <c r="C1" s="39" t="s">
        <v>325</v>
      </c>
      <c r="F1" s="39" t="s">
        <v>1</v>
      </c>
      <c r="G1" s="39" t="s">
        <v>326</v>
      </c>
      <c r="L1" s="102"/>
    </row>
    <row r="2" spans="1:12">
      <c r="C2" s="99" t="s">
        <v>420</v>
      </c>
    </row>
    <row r="3" spans="1:12" ht="119.25" customHeight="1">
      <c r="A3" s="112" t="s">
        <v>214</v>
      </c>
      <c r="B3" s="112" t="s">
        <v>327</v>
      </c>
      <c r="C3" s="112" t="s">
        <v>328</v>
      </c>
      <c r="D3" s="39" t="s">
        <v>329</v>
      </c>
      <c r="E3" s="113" t="s">
        <v>330</v>
      </c>
      <c r="F3" s="39" t="s">
        <v>215</v>
      </c>
      <c r="G3" s="39" t="s">
        <v>216</v>
      </c>
    </row>
    <row r="4" spans="1:12">
      <c r="A4" s="114">
        <v>-12</v>
      </c>
      <c r="B4" s="115">
        <v>0</v>
      </c>
      <c r="C4" s="39">
        <f>SUM(B$4:$B4)</f>
        <v>0</v>
      </c>
      <c r="D4" s="39">
        <f>($B$1-A4)*B4</f>
        <v>0</v>
      </c>
      <c r="E4" s="39">
        <f>SUM($D$4:D4)</f>
        <v>0</v>
      </c>
      <c r="F4" s="116">
        <f t="shared" ref="F4:F31" si="0">D4/$E$31</f>
        <v>0</v>
      </c>
      <c r="G4" s="116">
        <f t="shared" ref="G4:G52" si="1">B4/8760</f>
        <v>0</v>
      </c>
    </row>
    <row r="5" spans="1:12">
      <c r="A5" s="114">
        <f t="shared" ref="A5:A51" si="2">A4+1</f>
        <v>-11</v>
      </c>
      <c r="B5" s="115">
        <v>0</v>
      </c>
      <c r="C5" s="39">
        <f>SUM(B$4:$B5)</f>
        <v>0</v>
      </c>
      <c r="D5" s="39">
        <f t="shared" ref="D5:D32" si="3">($B$1-A5)*B5</f>
        <v>0</v>
      </c>
      <c r="E5" s="39">
        <f>SUM($D$4:D5)</f>
        <v>0</v>
      </c>
      <c r="F5" s="116">
        <f t="shared" si="0"/>
        <v>0</v>
      </c>
      <c r="G5" s="116">
        <f t="shared" si="1"/>
        <v>0</v>
      </c>
    </row>
    <row r="6" spans="1:12">
      <c r="A6" s="114">
        <f t="shared" si="2"/>
        <v>-10</v>
      </c>
      <c r="B6" s="115">
        <v>0</v>
      </c>
      <c r="C6" s="39">
        <f>SUM(B$4:$B6)</f>
        <v>0</v>
      </c>
      <c r="D6" s="39">
        <f t="shared" si="3"/>
        <v>0</v>
      </c>
      <c r="E6" s="39">
        <f>SUM($D$4:D6)</f>
        <v>0</v>
      </c>
      <c r="F6" s="116">
        <f t="shared" si="0"/>
        <v>0</v>
      </c>
      <c r="G6" s="116">
        <f t="shared" si="1"/>
        <v>0</v>
      </c>
      <c r="J6" s="109"/>
      <c r="K6" s="109"/>
      <c r="L6" s="102"/>
    </row>
    <row r="7" spans="1:12">
      <c r="A7" s="114">
        <f t="shared" si="2"/>
        <v>-9</v>
      </c>
      <c r="B7" s="115">
        <v>0</v>
      </c>
      <c r="C7" s="39">
        <f>SUM(B$4:$B7)</f>
        <v>0</v>
      </c>
      <c r="D7" s="39">
        <f t="shared" si="3"/>
        <v>0</v>
      </c>
      <c r="E7" s="39">
        <f>SUM($D$4:D7)</f>
        <v>0</v>
      </c>
      <c r="F7" s="116">
        <f t="shared" si="0"/>
        <v>0</v>
      </c>
      <c r="G7" s="116">
        <f t="shared" si="1"/>
        <v>0</v>
      </c>
    </row>
    <row r="8" spans="1:12">
      <c r="A8" s="114">
        <f t="shared" si="2"/>
        <v>-8</v>
      </c>
      <c r="B8" s="115">
        <v>0</v>
      </c>
      <c r="C8" s="39">
        <f>SUM(B$4:$B8)</f>
        <v>0</v>
      </c>
      <c r="D8" s="39">
        <f t="shared" si="3"/>
        <v>0</v>
      </c>
      <c r="E8" s="39">
        <f>SUM($D$4:D8)</f>
        <v>0</v>
      </c>
      <c r="F8" s="116">
        <f t="shared" si="0"/>
        <v>0</v>
      </c>
      <c r="G8" s="116">
        <f t="shared" si="1"/>
        <v>0</v>
      </c>
    </row>
    <row r="9" spans="1:12">
      <c r="A9" s="114">
        <f t="shared" si="2"/>
        <v>-7</v>
      </c>
      <c r="B9" s="115">
        <v>0</v>
      </c>
      <c r="C9" s="39">
        <f>SUM(B$4:$B9)</f>
        <v>0</v>
      </c>
      <c r="D9" s="39">
        <f t="shared" si="3"/>
        <v>0</v>
      </c>
      <c r="E9" s="39">
        <f>SUM($D$4:D9)</f>
        <v>0</v>
      </c>
      <c r="F9" s="116">
        <f t="shared" si="0"/>
        <v>0</v>
      </c>
      <c r="G9" s="116">
        <f t="shared" si="1"/>
        <v>0</v>
      </c>
    </row>
    <row r="10" spans="1:12">
      <c r="A10" s="114">
        <f t="shared" si="2"/>
        <v>-6</v>
      </c>
      <c r="B10" s="115">
        <v>0</v>
      </c>
      <c r="C10" s="39">
        <f>SUM(B$4:$B10)</f>
        <v>0</v>
      </c>
      <c r="D10" s="39">
        <f t="shared" si="3"/>
        <v>0</v>
      </c>
      <c r="E10" s="39">
        <f>SUM($D$4:D10)</f>
        <v>0</v>
      </c>
      <c r="F10" s="116">
        <f t="shared" si="0"/>
        <v>0</v>
      </c>
      <c r="G10" s="116">
        <f t="shared" si="1"/>
        <v>0</v>
      </c>
    </row>
    <row r="11" spans="1:12">
      <c r="A11" s="114">
        <f t="shared" si="2"/>
        <v>-5</v>
      </c>
      <c r="B11" s="115">
        <v>0</v>
      </c>
      <c r="C11" s="39">
        <f>SUM(B$4:$B11)</f>
        <v>0</v>
      </c>
      <c r="D11" s="39">
        <f t="shared" si="3"/>
        <v>0</v>
      </c>
      <c r="E11" s="39">
        <f>SUM($D$4:D11)</f>
        <v>0</v>
      </c>
      <c r="F11" s="116">
        <f t="shared" si="0"/>
        <v>0</v>
      </c>
      <c r="G11" s="116">
        <f t="shared" si="1"/>
        <v>0</v>
      </c>
    </row>
    <row r="12" spans="1:12">
      <c r="A12" s="114">
        <f t="shared" si="2"/>
        <v>-4</v>
      </c>
      <c r="B12" s="115">
        <v>0</v>
      </c>
      <c r="C12" s="39">
        <f>SUM(B$4:$B12)</f>
        <v>0</v>
      </c>
      <c r="D12" s="39">
        <f t="shared" si="3"/>
        <v>0</v>
      </c>
      <c r="E12" s="39">
        <f>SUM($D$4:D12)</f>
        <v>0</v>
      </c>
      <c r="F12" s="116">
        <f t="shared" si="0"/>
        <v>0</v>
      </c>
      <c r="G12" s="116">
        <f t="shared" si="1"/>
        <v>0</v>
      </c>
    </row>
    <row r="13" spans="1:12">
      <c r="A13" s="114">
        <f t="shared" si="2"/>
        <v>-3</v>
      </c>
      <c r="B13" s="115">
        <v>4</v>
      </c>
      <c r="C13" s="39">
        <f>SUM(B$4:$B13)</f>
        <v>4</v>
      </c>
      <c r="D13" s="39">
        <f>($B$1-A13)*B13</f>
        <v>76</v>
      </c>
      <c r="E13" s="39">
        <f>SUM($D$4:D13)</f>
        <v>76</v>
      </c>
      <c r="F13" s="116">
        <f>D13/$E$31</f>
        <v>1.3629108907339993E-3</v>
      </c>
      <c r="G13" s="116">
        <f t="shared" si="1"/>
        <v>4.5662100456621003E-4</v>
      </c>
    </row>
    <row r="14" spans="1:12">
      <c r="A14" s="114">
        <f t="shared" si="2"/>
        <v>-2</v>
      </c>
      <c r="B14" s="115">
        <v>14</v>
      </c>
      <c r="C14" s="39">
        <f>SUM(B$4:$B14)</f>
        <v>18</v>
      </c>
      <c r="D14" s="39">
        <f>($B$1-A14)*B14</f>
        <v>252</v>
      </c>
      <c r="E14" s="39">
        <f>SUM($D$4:D14)</f>
        <v>328</v>
      </c>
      <c r="F14" s="116">
        <f>D14/$E$31</f>
        <v>4.5191255850653657E-3</v>
      </c>
      <c r="G14" s="116">
        <f t="shared" si="1"/>
        <v>1.5981735159817352E-3</v>
      </c>
    </row>
    <row r="15" spans="1:12">
      <c r="A15" s="114">
        <f t="shared" si="2"/>
        <v>-1</v>
      </c>
      <c r="B15" s="115">
        <v>44</v>
      </c>
      <c r="C15" s="39">
        <f>SUM(B$4:$B15)</f>
        <v>62</v>
      </c>
      <c r="D15" s="39">
        <f t="shared" si="3"/>
        <v>748</v>
      </c>
      <c r="E15" s="39">
        <f>SUM($D$4:D15)</f>
        <v>1076</v>
      </c>
      <c r="F15" s="116">
        <f t="shared" si="0"/>
        <v>1.3413912450908309E-2</v>
      </c>
      <c r="G15" s="116">
        <f t="shared" si="1"/>
        <v>5.0228310502283104E-3</v>
      </c>
    </row>
    <row r="16" spans="1:12">
      <c r="A16" s="114">
        <f t="shared" si="2"/>
        <v>0</v>
      </c>
      <c r="B16" s="115">
        <v>112</v>
      </c>
      <c r="C16" s="39">
        <f>SUM(B$4:$B16)</f>
        <v>174</v>
      </c>
      <c r="D16" s="39">
        <f t="shared" si="3"/>
        <v>1792</v>
      </c>
      <c r="E16" s="39">
        <f>SUM($D$4:D16)</f>
        <v>2868</v>
      </c>
      <c r="F16" s="116">
        <f t="shared" si="0"/>
        <v>3.2136004160464825E-2</v>
      </c>
      <c r="G16" s="116">
        <f t="shared" si="1"/>
        <v>1.2785388127853882E-2</v>
      </c>
    </row>
    <row r="17" spans="1:7">
      <c r="A17" s="114">
        <f t="shared" si="2"/>
        <v>1</v>
      </c>
      <c r="B17" s="115">
        <v>146</v>
      </c>
      <c r="C17" s="39">
        <f>SUM(B$4:$B17)</f>
        <v>320</v>
      </c>
      <c r="D17" s="39">
        <f t="shared" si="3"/>
        <v>2190</v>
      </c>
      <c r="E17" s="39">
        <f>SUM($D$4:D17)</f>
        <v>5058</v>
      </c>
      <c r="F17" s="116">
        <f t="shared" si="0"/>
        <v>3.927335329878235E-2</v>
      </c>
      <c r="G17" s="116">
        <f t="shared" si="1"/>
        <v>1.6666666666666666E-2</v>
      </c>
    </row>
    <row r="18" spans="1:7">
      <c r="A18" s="114">
        <f t="shared" si="2"/>
        <v>2</v>
      </c>
      <c r="B18" s="115">
        <v>222</v>
      </c>
      <c r="C18" s="39">
        <f>SUM(B$4:$B18)</f>
        <v>542</v>
      </c>
      <c r="D18" s="39">
        <f t="shared" si="3"/>
        <v>3108</v>
      </c>
      <c r="E18" s="39">
        <f>SUM($D$4:D18)</f>
        <v>8166</v>
      </c>
      <c r="F18" s="116">
        <f>D18/$E$31</f>
        <v>5.5735882215806179E-2</v>
      </c>
      <c r="G18" s="116">
        <f t="shared" si="1"/>
        <v>2.5342465753424658E-2</v>
      </c>
    </row>
    <row r="19" spans="1:7">
      <c r="A19" s="114">
        <f t="shared" si="2"/>
        <v>3</v>
      </c>
      <c r="B19" s="115">
        <v>323</v>
      </c>
      <c r="C19" s="39">
        <f>SUM(B$4:$B19)</f>
        <v>865</v>
      </c>
      <c r="D19" s="39">
        <f t="shared" si="3"/>
        <v>4199</v>
      </c>
      <c r="E19" s="39">
        <f>SUM($D$4:D19)</f>
        <v>12365</v>
      </c>
      <c r="F19" s="116">
        <f t="shared" si="0"/>
        <v>7.5300826713053465E-2</v>
      </c>
      <c r="G19" s="116">
        <f t="shared" si="1"/>
        <v>3.6872146118721458E-2</v>
      </c>
    </row>
    <row r="20" spans="1:7">
      <c r="A20" s="114">
        <f t="shared" si="2"/>
        <v>4</v>
      </c>
      <c r="B20" s="115">
        <v>400</v>
      </c>
      <c r="C20" s="39">
        <f>SUM(B$4:$B20)</f>
        <v>1265</v>
      </c>
      <c r="D20" s="39">
        <f t="shared" si="3"/>
        <v>4800</v>
      </c>
      <c r="E20" s="39">
        <f>SUM($D$4:D20)</f>
        <v>17165</v>
      </c>
      <c r="F20" s="116">
        <f t="shared" si="0"/>
        <v>8.6078582572673631E-2</v>
      </c>
      <c r="G20" s="116">
        <f t="shared" si="1"/>
        <v>4.5662100456621002E-2</v>
      </c>
    </row>
    <row r="21" spans="1:7">
      <c r="A21" s="114">
        <f t="shared" si="2"/>
        <v>5</v>
      </c>
      <c r="B21" s="115">
        <v>446</v>
      </c>
      <c r="C21" s="39">
        <f>SUM(B$4:$B21)</f>
        <v>1711</v>
      </c>
      <c r="D21" s="39">
        <f t="shared" si="3"/>
        <v>4906</v>
      </c>
      <c r="E21" s="39">
        <f>SUM($D$4:D21)</f>
        <v>22071</v>
      </c>
      <c r="F21" s="116">
        <f t="shared" si="0"/>
        <v>8.7979484604486846E-2</v>
      </c>
      <c r="G21" s="116">
        <f t="shared" si="1"/>
        <v>5.0913242009132421E-2</v>
      </c>
    </row>
    <row r="22" spans="1:7">
      <c r="A22" s="114">
        <f t="shared" si="2"/>
        <v>6</v>
      </c>
      <c r="B22" s="115">
        <v>545</v>
      </c>
      <c r="C22" s="39">
        <f>SUM(B$4:$B22)</f>
        <v>2256</v>
      </c>
      <c r="D22" s="39">
        <f t="shared" si="3"/>
        <v>5450</v>
      </c>
      <c r="E22" s="39">
        <f>SUM($D$4:D22)</f>
        <v>27521</v>
      </c>
      <c r="F22" s="116">
        <f t="shared" si="0"/>
        <v>9.7735057296056527E-2</v>
      </c>
      <c r="G22" s="116">
        <f t="shared" si="1"/>
        <v>6.2214611872146115E-2</v>
      </c>
    </row>
    <row r="23" spans="1:7">
      <c r="A23" s="114">
        <f t="shared" si="2"/>
        <v>7</v>
      </c>
      <c r="B23" s="115">
        <v>603</v>
      </c>
      <c r="C23" s="39">
        <f>SUM(B$4:$B23)</f>
        <v>2859</v>
      </c>
      <c r="D23" s="39">
        <f t="shared" si="3"/>
        <v>5427</v>
      </c>
      <c r="E23" s="39">
        <f>SUM($D$4:D23)</f>
        <v>32948</v>
      </c>
      <c r="F23" s="116">
        <f t="shared" si="0"/>
        <v>9.7322597421229132E-2</v>
      </c>
      <c r="G23" s="116">
        <f t="shared" si="1"/>
        <v>6.8835616438356159E-2</v>
      </c>
    </row>
    <row r="24" spans="1:7">
      <c r="A24" s="114">
        <f t="shared" si="2"/>
        <v>8</v>
      </c>
      <c r="B24" s="115">
        <v>658</v>
      </c>
      <c r="C24" s="39">
        <f>SUM(B$4:$B24)</f>
        <v>3517</v>
      </c>
      <c r="D24" s="39">
        <f t="shared" si="3"/>
        <v>5264</v>
      </c>
      <c r="E24" s="39">
        <f>SUM($D$4:D24)</f>
        <v>38212</v>
      </c>
      <c r="F24" s="116">
        <f t="shared" si="0"/>
        <v>9.4399512221365417E-2</v>
      </c>
      <c r="G24" s="116">
        <f t="shared" si="1"/>
        <v>7.5114155251141554E-2</v>
      </c>
    </row>
    <row r="25" spans="1:7">
      <c r="A25" s="114">
        <f t="shared" si="2"/>
        <v>9</v>
      </c>
      <c r="B25" s="115">
        <v>681</v>
      </c>
      <c r="C25" s="39">
        <f>SUM(B$4:$B25)</f>
        <v>4198</v>
      </c>
      <c r="D25" s="39">
        <f t="shared" si="3"/>
        <v>4767</v>
      </c>
      <c r="E25" s="39">
        <f>SUM($D$4:D25)</f>
        <v>42979</v>
      </c>
      <c r="F25" s="116">
        <f t="shared" si="0"/>
        <v>8.5486792317486501E-2</v>
      </c>
      <c r="G25" s="116">
        <f t="shared" si="1"/>
        <v>7.773972602739726E-2</v>
      </c>
    </row>
    <row r="26" spans="1:7">
      <c r="A26" s="114">
        <f t="shared" si="2"/>
        <v>10</v>
      </c>
      <c r="B26" s="115">
        <v>639</v>
      </c>
      <c r="C26" s="39">
        <f>SUM(B$4:$B26)</f>
        <v>4837</v>
      </c>
      <c r="D26" s="39">
        <f t="shared" si="3"/>
        <v>3834</v>
      </c>
      <c r="E26" s="39">
        <f>SUM($D$4:D26)</f>
        <v>46813</v>
      </c>
      <c r="F26" s="116">
        <f t="shared" si="0"/>
        <v>6.875526782992307E-2</v>
      </c>
      <c r="G26" s="116">
        <f t="shared" si="1"/>
        <v>7.294520547945206E-2</v>
      </c>
    </row>
    <row r="27" spans="1:7">
      <c r="A27" s="114">
        <f t="shared" si="2"/>
        <v>11</v>
      </c>
      <c r="B27" s="115">
        <v>660</v>
      </c>
      <c r="C27" s="39">
        <f>SUM(B$4:$B27)</f>
        <v>5497</v>
      </c>
      <c r="D27" s="39">
        <f t="shared" si="3"/>
        <v>3300</v>
      </c>
      <c r="E27" s="39">
        <f>SUM($D$4:D27)</f>
        <v>50113</v>
      </c>
      <c r="F27" s="116">
        <f t="shared" si="0"/>
        <v>5.9179025518713124E-2</v>
      </c>
      <c r="G27" s="116">
        <f t="shared" si="1"/>
        <v>7.5342465753424653E-2</v>
      </c>
    </row>
    <row r="28" spans="1:7">
      <c r="A28" s="114">
        <f t="shared" si="2"/>
        <v>12</v>
      </c>
      <c r="B28" s="115">
        <v>610</v>
      </c>
      <c r="C28" s="39">
        <f>SUM(B$4:$B28)</f>
        <v>6107</v>
      </c>
      <c r="D28" s="39">
        <f t="shared" si="3"/>
        <v>2440</v>
      </c>
      <c r="E28" s="39">
        <f>SUM($D$4:D28)</f>
        <v>52553</v>
      </c>
      <c r="F28" s="116">
        <f t="shared" si="0"/>
        <v>4.3756612807775763E-2</v>
      </c>
      <c r="G28" s="116">
        <f t="shared" si="1"/>
        <v>6.9634703196347028E-2</v>
      </c>
    </row>
    <row r="29" spans="1:7">
      <c r="A29" s="114">
        <f t="shared" si="2"/>
        <v>13</v>
      </c>
      <c r="B29" s="115">
        <v>582</v>
      </c>
      <c r="C29" s="39">
        <f>SUM(B$4:$B29)</f>
        <v>6689</v>
      </c>
      <c r="D29" s="39">
        <f t="shared" si="3"/>
        <v>1746</v>
      </c>
      <c r="E29" s="39">
        <f>SUM($D$4:D29)</f>
        <v>54299</v>
      </c>
      <c r="F29" s="116">
        <f t="shared" si="0"/>
        <v>3.1311084410810035E-2</v>
      </c>
      <c r="G29" s="116">
        <f t="shared" si="1"/>
        <v>6.6438356164383566E-2</v>
      </c>
    </row>
    <row r="30" spans="1:7">
      <c r="A30" s="114">
        <f t="shared" si="2"/>
        <v>14</v>
      </c>
      <c r="B30" s="115">
        <v>481</v>
      </c>
      <c r="C30" s="39">
        <f>SUM(B$4:$B30)</f>
        <v>7170</v>
      </c>
      <c r="D30" s="39">
        <f t="shared" si="3"/>
        <v>962</v>
      </c>
      <c r="E30" s="39">
        <f>SUM($D$4:D30)</f>
        <v>55261</v>
      </c>
      <c r="F30" s="116">
        <f t="shared" si="0"/>
        <v>1.7251582590606676E-2</v>
      </c>
      <c r="G30" s="116">
        <f t="shared" si="1"/>
        <v>5.4908675799086759E-2</v>
      </c>
    </row>
    <row r="31" spans="1:7">
      <c r="A31" s="114">
        <f t="shared" si="2"/>
        <v>15</v>
      </c>
      <c r="B31" s="115">
        <v>502</v>
      </c>
      <c r="C31" s="39">
        <f>SUM(B$4:$B31)</f>
        <v>7672</v>
      </c>
      <c r="D31" s="39">
        <f t="shared" si="3"/>
        <v>502</v>
      </c>
      <c r="E31" s="39">
        <f>SUM($D$4:D31)</f>
        <v>55763</v>
      </c>
      <c r="F31" s="116">
        <f t="shared" si="0"/>
        <v>9.002385094058785E-3</v>
      </c>
      <c r="G31" s="116">
        <f t="shared" si="1"/>
        <v>5.7305936073059359E-2</v>
      </c>
    </row>
    <row r="32" spans="1:7">
      <c r="A32" s="114">
        <f t="shared" si="2"/>
        <v>16</v>
      </c>
      <c r="B32" s="115">
        <v>383</v>
      </c>
      <c r="C32" s="39">
        <f>SUM(B$4:$B32)</f>
        <v>8055</v>
      </c>
      <c r="D32" s="39">
        <f t="shared" si="3"/>
        <v>0</v>
      </c>
      <c r="G32" s="116">
        <f t="shared" si="1"/>
        <v>4.3721461187214615E-2</v>
      </c>
    </row>
    <row r="33" spans="1:7">
      <c r="A33" s="114">
        <f t="shared" si="2"/>
        <v>17</v>
      </c>
      <c r="B33" s="115">
        <v>259</v>
      </c>
      <c r="C33" s="39">
        <f>SUM(B$4:$B33)</f>
        <v>8314</v>
      </c>
      <c r="G33" s="116">
        <f t="shared" si="1"/>
        <v>2.9566210045662102E-2</v>
      </c>
    </row>
    <row r="34" spans="1:7">
      <c r="A34" s="114">
        <f t="shared" si="2"/>
        <v>18</v>
      </c>
      <c r="B34" s="115">
        <v>170</v>
      </c>
      <c r="C34" s="39">
        <f>SUM(B$4:$B34)</f>
        <v>8484</v>
      </c>
      <c r="G34" s="116">
        <f t="shared" si="1"/>
        <v>1.9406392694063926E-2</v>
      </c>
    </row>
    <row r="35" spans="1:7">
      <c r="A35" s="114">
        <f t="shared" si="2"/>
        <v>19</v>
      </c>
      <c r="B35" s="115">
        <v>112</v>
      </c>
      <c r="C35" s="39">
        <f>SUM(B$4:$B35)</f>
        <v>8596</v>
      </c>
      <c r="G35" s="116">
        <f t="shared" si="1"/>
        <v>1.2785388127853882E-2</v>
      </c>
    </row>
    <row r="36" spans="1:7">
      <c r="A36" s="114">
        <f t="shared" si="2"/>
        <v>20</v>
      </c>
      <c r="B36" s="115">
        <v>67</v>
      </c>
      <c r="C36" s="39">
        <f>SUM(B$4:$B36)</f>
        <v>8663</v>
      </c>
      <c r="G36" s="116">
        <f t="shared" si="1"/>
        <v>7.6484018264840184E-3</v>
      </c>
    </row>
    <row r="37" spans="1:7">
      <c r="A37" s="114">
        <f t="shared" si="2"/>
        <v>21</v>
      </c>
      <c r="B37" s="115">
        <v>37</v>
      </c>
      <c r="C37" s="39">
        <f>SUM(B$4:$B37)</f>
        <v>8700</v>
      </c>
      <c r="G37" s="116">
        <f t="shared" si="1"/>
        <v>4.2237442922374432E-3</v>
      </c>
    </row>
    <row r="38" spans="1:7">
      <c r="A38" s="114">
        <f t="shared" si="2"/>
        <v>22</v>
      </c>
      <c r="B38" s="115">
        <v>27</v>
      </c>
      <c r="C38" s="39">
        <f>SUM(B$4:$B38)</f>
        <v>8727</v>
      </c>
      <c r="G38" s="116">
        <f t="shared" si="1"/>
        <v>3.0821917808219177E-3</v>
      </c>
    </row>
    <row r="39" spans="1:7">
      <c r="A39" s="114">
        <f t="shared" si="2"/>
        <v>23</v>
      </c>
      <c r="B39" s="115">
        <v>20</v>
      </c>
      <c r="C39" s="39">
        <f>SUM(B$4:$B39)</f>
        <v>8747</v>
      </c>
      <c r="G39" s="116">
        <f t="shared" si="1"/>
        <v>2.2831050228310501E-3</v>
      </c>
    </row>
    <row r="40" spans="1:7">
      <c r="A40" s="114">
        <f t="shared" si="2"/>
        <v>24</v>
      </c>
      <c r="B40" s="115">
        <v>13</v>
      </c>
      <c r="C40" s="39">
        <f>SUM(B$4:$B40)</f>
        <v>8760</v>
      </c>
      <c r="G40" s="116">
        <f t="shared" si="1"/>
        <v>1.4840182648401827E-3</v>
      </c>
    </row>
    <row r="41" spans="1:7">
      <c r="A41" s="114">
        <f t="shared" si="2"/>
        <v>25</v>
      </c>
      <c r="B41" s="115">
        <v>0</v>
      </c>
      <c r="C41" s="39">
        <f>SUM(B$4:$B41)</f>
        <v>8760</v>
      </c>
      <c r="G41" s="116">
        <f t="shared" si="1"/>
        <v>0</v>
      </c>
    </row>
    <row r="42" spans="1:7">
      <c r="A42" s="114">
        <f t="shared" si="2"/>
        <v>26</v>
      </c>
      <c r="B42" s="115">
        <v>0</v>
      </c>
      <c r="C42" s="39">
        <f>SUM(B$4:$B42)</f>
        <v>8760</v>
      </c>
      <c r="G42" s="116">
        <f t="shared" si="1"/>
        <v>0</v>
      </c>
    </row>
    <row r="43" spans="1:7">
      <c r="A43" s="114">
        <f t="shared" si="2"/>
        <v>27</v>
      </c>
      <c r="B43" s="115">
        <v>0</v>
      </c>
      <c r="C43" s="39">
        <f>SUM(B$4:$B43)</f>
        <v>8760</v>
      </c>
      <c r="G43" s="116">
        <f t="shared" si="1"/>
        <v>0</v>
      </c>
    </row>
    <row r="44" spans="1:7">
      <c r="A44" s="114">
        <f t="shared" si="2"/>
        <v>28</v>
      </c>
      <c r="B44" s="115">
        <v>0</v>
      </c>
      <c r="C44" s="39">
        <f>SUM(B$4:$B44)</f>
        <v>8760</v>
      </c>
      <c r="G44" s="116">
        <f t="shared" si="1"/>
        <v>0</v>
      </c>
    </row>
    <row r="45" spans="1:7">
      <c r="A45" s="114">
        <f t="shared" si="2"/>
        <v>29</v>
      </c>
      <c r="B45" s="115">
        <v>0</v>
      </c>
      <c r="C45" s="39">
        <f>SUM(B$4:$B45)</f>
        <v>8760</v>
      </c>
      <c r="G45" s="116">
        <f t="shared" si="1"/>
        <v>0</v>
      </c>
    </row>
    <row r="46" spans="1:7">
      <c r="A46" s="114">
        <f t="shared" si="2"/>
        <v>30</v>
      </c>
      <c r="B46" s="115">
        <v>0</v>
      </c>
      <c r="C46" s="39">
        <f>SUM(B$4:$B46)</f>
        <v>8760</v>
      </c>
      <c r="G46" s="116">
        <f t="shared" si="1"/>
        <v>0</v>
      </c>
    </row>
    <row r="47" spans="1:7">
      <c r="A47" s="114">
        <f t="shared" si="2"/>
        <v>31</v>
      </c>
      <c r="B47" s="115">
        <v>0</v>
      </c>
      <c r="C47" s="39">
        <f>SUM(B$4:$B47)</f>
        <v>8760</v>
      </c>
      <c r="G47" s="116">
        <f t="shared" si="1"/>
        <v>0</v>
      </c>
    </row>
    <row r="48" spans="1:7">
      <c r="A48" s="114">
        <f t="shared" si="2"/>
        <v>32</v>
      </c>
      <c r="B48" s="115">
        <v>0</v>
      </c>
      <c r="C48" s="39">
        <f>SUM(B$4:$B48)</f>
        <v>8760</v>
      </c>
      <c r="G48" s="116">
        <f t="shared" si="1"/>
        <v>0</v>
      </c>
    </row>
    <row r="49" spans="1:7">
      <c r="A49" s="114">
        <f t="shared" si="2"/>
        <v>33</v>
      </c>
      <c r="B49" s="115">
        <v>0</v>
      </c>
      <c r="C49" s="39">
        <f>SUM(B$4:$B49)</f>
        <v>8760</v>
      </c>
      <c r="G49" s="116">
        <f t="shared" si="1"/>
        <v>0</v>
      </c>
    </row>
    <row r="50" spans="1:7">
      <c r="A50" s="114">
        <f t="shared" si="2"/>
        <v>34</v>
      </c>
      <c r="B50" s="115">
        <v>0</v>
      </c>
      <c r="C50" s="39">
        <f>SUM(B$4:$B50)</f>
        <v>8760</v>
      </c>
      <c r="G50" s="116">
        <f t="shared" si="1"/>
        <v>0</v>
      </c>
    </row>
    <row r="51" spans="1:7">
      <c r="A51" s="114">
        <f t="shared" si="2"/>
        <v>35</v>
      </c>
      <c r="B51" s="115">
        <v>0</v>
      </c>
      <c r="C51" s="39">
        <f>SUM(B$4:$B51)</f>
        <v>8760</v>
      </c>
      <c r="G51" s="116">
        <f t="shared" si="1"/>
        <v>0</v>
      </c>
    </row>
    <row r="52" spans="1:7">
      <c r="G52" s="116">
        <f t="shared" si="1"/>
        <v>0</v>
      </c>
    </row>
  </sheetData>
  <sheetProtection algorithmName="SHA-512" hashValue="Olm0Jvjd/veTK1bEUv+bFPbcgB2oQea1cIHdysChyOi3WHnHpfSTtE56s8qqre+D5Z+A3hbN1tEZ2vWflU6PLw==" saltValue="0ZowKUephU8IoAc33FaHKw==" spinCount="100000" sheet="1" objects="1" scenarios="1"/>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2D628-CB46-4DD6-B229-F11DBA06EFEA}">
  <sheetPr>
    <pageSetUpPr fitToPage="1"/>
  </sheetPr>
  <dimension ref="A1:P29"/>
  <sheetViews>
    <sheetView zoomScale="85" zoomScaleNormal="85" workbookViewId="0">
      <selection activeCell="G16" sqref="G16"/>
    </sheetView>
  </sheetViews>
  <sheetFormatPr defaultColWidth="9.140625" defaultRowHeight="12.75"/>
  <cols>
    <col min="1" max="1" width="9.140625" style="142"/>
    <col min="2" max="2" width="9.85546875" style="142" customWidth="1"/>
    <col min="3" max="3" width="64.5703125" style="142" customWidth="1"/>
    <col min="4" max="16384" width="9.140625" style="142"/>
  </cols>
  <sheetData>
    <row r="1" spans="1:16" s="141" customFormat="1" ht="18">
      <c r="A1" s="140" t="s">
        <v>23</v>
      </c>
    </row>
    <row r="4" spans="1:16">
      <c r="A4" s="143" t="s">
        <v>24</v>
      </c>
    </row>
    <row r="5" spans="1:16">
      <c r="A5" s="142" t="s">
        <v>25</v>
      </c>
      <c r="C5" s="144"/>
      <c r="G5" s="142" t="s">
        <v>1</v>
      </c>
    </row>
    <row r="6" spans="1:16">
      <c r="A6" s="142" t="s">
        <v>26</v>
      </c>
      <c r="C6" s="144" t="s">
        <v>1</v>
      </c>
      <c r="G6" s="145" t="s">
        <v>1</v>
      </c>
    </row>
    <row r="7" spans="1:16">
      <c r="A7" s="142" t="s">
        <v>27</v>
      </c>
      <c r="C7" s="144" t="s">
        <v>1</v>
      </c>
    </row>
    <row r="8" spans="1:16">
      <c r="A8" s="142" t="s">
        <v>28</v>
      </c>
      <c r="C8" s="144" t="s">
        <v>1</v>
      </c>
      <c r="G8" s="142" t="s">
        <v>1</v>
      </c>
    </row>
    <row r="9" spans="1:16">
      <c r="A9" s="142" t="s">
        <v>29</v>
      </c>
      <c r="C9" s="144" t="s">
        <v>1</v>
      </c>
      <c r="G9" s="142" t="s">
        <v>1</v>
      </c>
    </row>
    <row r="10" spans="1:16">
      <c r="C10" s="147"/>
      <c r="E10" s="146"/>
      <c r="F10" s="146"/>
      <c r="G10" s="148" t="s">
        <v>1</v>
      </c>
      <c r="H10" s="146"/>
      <c r="I10" s="146"/>
      <c r="J10" s="146"/>
      <c r="K10" s="146"/>
      <c r="L10" s="146"/>
      <c r="M10" s="146"/>
      <c r="N10" s="146"/>
      <c r="O10" s="146"/>
      <c r="P10" s="146"/>
    </row>
    <row r="11" spans="1:16">
      <c r="A11" s="143" t="s">
        <v>33</v>
      </c>
      <c r="C11" s="147"/>
    </row>
    <row r="12" spans="1:16">
      <c r="A12" s="142" t="s">
        <v>30</v>
      </c>
      <c r="C12" s="144" t="s">
        <v>1</v>
      </c>
    </row>
    <row r="13" spans="1:16">
      <c r="A13" s="142" t="s">
        <v>34</v>
      </c>
      <c r="C13" s="144" t="s">
        <v>1</v>
      </c>
    </row>
    <row r="14" spans="1:16">
      <c r="A14" s="142" t="s">
        <v>35</v>
      </c>
      <c r="C14" s="144" t="s">
        <v>1</v>
      </c>
    </row>
    <row r="15" spans="1:16">
      <c r="A15" s="142" t="s">
        <v>31</v>
      </c>
      <c r="C15" s="144" t="s">
        <v>1</v>
      </c>
    </row>
    <row r="16" spans="1:16">
      <c r="A16" s="142" t="s">
        <v>32</v>
      </c>
      <c r="C16" s="144" t="s">
        <v>1</v>
      </c>
    </row>
    <row r="17" spans="1:4">
      <c r="A17" s="142" t="s">
        <v>26</v>
      </c>
      <c r="C17" s="144" t="s">
        <v>1</v>
      </c>
    </row>
    <row r="18" spans="1:4">
      <c r="C18" s="147"/>
    </row>
    <row r="19" spans="1:4">
      <c r="A19" s="143" t="s">
        <v>36</v>
      </c>
      <c r="C19" s="147"/>
    </row>
    <row r="20" spans="1:4">
      <c r="C20" s="144" t="s">
        <v>1</v>
      </c>
      <c r="D20" s="142" t="s">
        <v>1</v>
      </c>
    </row>
    <row r="21" spans="1:4">
      <c r="C21" s="144" t="s">
        <v>1</v>
      </c>
    </row>
    <row r="22" spans="1:4">
      <c r="C22" s="144" t="s">
        <v>1</v>
      </c>
    </row>
    <row r="23" spans="1:4">
      <c r="C23" s="144" t="s">
        <v>1</v>
      </c>
    </row>
    <row r="24" spans="1:4">
      <c r="C24" s="144" t="s">
        <v>1</v>
      </c>
    </row>
    <row r="25" spans="1:4">
      <c r="C25" s="144" t="s">
        <v>1</v>
      </c>
    </row>
    <row r="26" spans="1:4">
      <c r="C26" s="144" t="s">
        <v>1</v>
      </c>
    </row>
    <row r="27" spans="1:4">
      <c r="C27" s="144" t="s">
        <v>1</v>
      </c>
    </row>
    <row r="28" spans="1:4">
      <c r="C28" s="144" t="s">
        <v>1</v>
      </c>
    </row>
    <row r="29" spans="1:4">
      <c r="C29" s="144" t="s">
        <v>1</v>
      </c>
    </row>
  </sheetData>
  <sheetProtection algorithmName="SHA-512" hashValue="P5/mCeTp7/53DAh2WNJJg7YzoowZrY9EoK7DcQjBf3veuhuT8Vu2wghSomz8eNSIxTESr7Eb9XRWEVuc9N/S8Q==" saltValue="v1IINoCXt3HjkcSc8EJHfw==" spinCount="100000" sheet="1" objects="1" scenarios="1"/>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736AE-DB70-4F0D-BEC9-2F202775250B}">
  <dimension ref="A1:XFD66"/>
  <sheetViews>
    <sheetView zoomScale="85" zoomScaleNormal="85" workbookViewId="0">
      <selection activeCell="C9" sqref="C9"/>
    </sheetView>
  </sheetViews>
  <sheetFormatPr defaultRowHeight="14.25"/>
  <cols>
    <col min="1" max="1" width="63.85546875" style="214" bestFit="1" customWidth="1"/>
    <col min="2" max="2" width="30.7109375" style="214" customWidth="1"/>
    <col min="3" max="3" width="28.7109375" style="214" customWidth="1"/>
    <col min="4" max="4" width="30.28515625" style="214" customWidth="1"/>
    <col min="5" max="5" width="16.85546875" style="214" customWidth="1"/>
    <col min="6" max="6" width="94.7109375" style="214" customWidth="1"/>
    <col min="7" max="7" width="67.85546875" customWidth="1"/>
    <col min="8" max="8" width="50.5703125" bestFit="1" customWidth="1"/>
  </cols>
  <sheetData>
    <row r="1" spans="1:159" s="137" customFormat="1" ht="39.6" customHeight="1" thickBot="1">
      <c r="A1" s="729" t="s">
        <v>631</v>
      </c>
      <c r="B1" s="730"/>
      <c r="C1" s="730"/>
      <c r="D1" s="730"/>
      <c r="E1" s="730"/>
      <c r="F1" s="730"/>
      <c r="G1" s="198"/>
      <c r="H1" s="199"/>
      <c r="I1" s="199"/>
      <c r="J1" s="135"/>
      <c r="K1" s="135"/>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row>
    <row r="2" spans="1:159" s="136" customFormat="1" ht="19.5" thickBot="1">
      <c r="A2" s="202" t="s">
        <v>340</v>
      </c>
      <c r="B2" s="203" t="s">
        <v>341</v>
      </c>
      <c r="C2" s="203"/>
      <c r="D2" s="203"/>
      <c r="E2" s="203" t="s">
        <v>342</v>
      </c>
      <c r="F2" s="203" t="s">
        <v>343</v>
      </c>
      <c r="G2" s="138"/>
      <c r="H2" s="138"/>
      <c r="I2" s="138"/>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row>
    <row r="3" spans="1:159" ht="30">
      <c r="A3" s="204" t="s">
        <v>70</v>
      </c>
      <c r="B3" s="568"/>
      <c r="C3" s="206"/>
      <c r="D3" s="206"/>
      <c r="E3" s="205" t="s">
        <v>71</v>
      </c>
      <c r="F3" s="206" t="s">
        <v>358</v>
      </c>
      <c r="G3" s="35"/>
      <c r="H3" s="219"/>
      <c r="I3" s="220"/>
    </row>
    <row r="4" spans="1:159" ht="15.75">
      <c r="A4" s="207" t="s">
        <v>354</v>
      </c>
      <c r="B4" s="540"/>
      <c r="C4" s="206"/>
      <c r="D4" s="206"/>
      <c r="E4" s="208" t="s">
        <v>43</v>
      </c>
      <c r="F4" s="206" t="s">
        <v>360</v>
      </c>
      <c r="G4" s="200"/>
      <c r="H4" s="223" t="s">
        <v>601</v>
      </c>
      <c r="I4" s="224">
        <f>(B4*(1-B7)*(1-B8))/I10</f>
        <v>0</v>
      </c>
      <c r="J4" s="224" t="s">
        <v>43</v>
      </c>
    </row>
    <row r="5" spans="1:159" ht="22.15" customHeight="1">
      <c r="A5" s="207" t="s">
        <v>95</v>
      </c>
      <c r="B5" s="540"/>
      <c r="C5" s="206"/>
      <c r="D5" s="206"/>
      <c r="E5" s="205" t="s">
        <v>457</v>
      </c>
      <c r="F5" s="206" t="s">
        <v>359</v>
      </c>
      <c r="G5" s="35"/>
      <c r="H5" s="219"/>
      <c r="I5" s="220"/>
    </row>
    <row r="6" spans="1:159" ht="17.25">
      <c r="A6" s="207" t="s">
        <v>353</v>
      </c>
      <c r="B6" s="540"/>
      <c r="C6" s="206"/>
      <c r="D6" s="206"/>
      <c r="E6" s="205" t="s">
        <v>457</v>
      </c>
      <c r="F6" s="206" t="s">
        <v>359</v>
      </c>
      <c r="G6" s="200"/>
      <c r="H6" s="223"/>
      <c r="I6" s="224"/>
    </row>
    <row r="7" spans="1:159" ht="15.75">
      <c r="A7" s="209" t="s">
        <v>591</v>
      </c>
      <c r="B7" s="541"/>
      <c r="C7" s="206"/>
      <c r="D7" s="206"/>
      <c r="E7" s="205" t="s">
        <v>92</v>
      </c>
      <c r="F7" s="206" t="s">
        <v>361</v>
      </c>
      <c r="G7" s="200"/>
      <c r="H7" s="223"/>
      <c r="I7" s="224"/>
    </row>
    <row r="8" spans="1:159" ht="15.75">
      <c r="A8" s="210" t="s">
        <v>355</v>
      </c>
      <c r="B8" s="540"/>
      <c r="C8" s="206"/>
      <c r="D8" s="206"/>
      <c r="E8" s="205" t="s">
        <v>356</v>
      </c>
      <c r="F8" s="206" t="s">
        <v>361</v>
      </c>
      <c r="G8" s="200"/>
      <c r="H8" s="223"/>
      <c r="I8" s="224"/>
    </row>
    <row r="9" spans="1:159" ht="15.75">
      <c r="A9" s="207" t="s">
        <v>362</v>
      </c>
      <c r="B9" s="540"/>
      <c r="C9" s="206"/>
      <c r="D9" s="206"/>
      <c r="E9" s="208" t="s">
        <v>43</v>
      </c>
      <c r="F9" s="206" t="s">
        <v>363</v>
      </c>
      <c r="G9" s="200"/>
      <c r="H9" s="223" t="s">
        <v>601</v>
      </c>
      <c r="I9" s="224">
        <f>B9*(1-B8)/I10</f>
        <v>0</v>
      </c>
      <c r="J9" s="224" t="s">
        <v>43</v>
      </c>
    </row>
    <row r="10" spans="1:159" ht="15.75">
      <c r="A10" s="210" t="s">
        <v>592</v>
      </c>
      <c r="B10" s="542" t="s">
        <v>38</v>
      </c>
      <c r="C10" s="206"/>
      <c r="D10" s="206"/>
      <c r="E10" s="205"/>
      <c r="F10" s="206" t="s">
        <v>364</v>
      </c>
      <c r="G10" s="200"/>
      <c r="H10" s="221" t="s">
        <v>456</v>
      </c>
      <c r="I10" s="221">
        <f>IF(OR(I19=FALSE,B10="Yes"),1,0.9)</f>
        <v>1</v>
      </c>
    </row>
    <row r="11" spans="1:159" ht="15.75">
      <c r="A11" s="211" t="s">
        <v>137</v>
      </c>
      <c r="B11" s="540">
        <v>2.08</v>
      </c>
      <c r="C11" s="206"/>
      <c r="D11" s="206"/>
      <c r="E11" s="208"/>
      <c r="F11" s="206" t="s">
        <v>366</v>
      </c>
      <c r="G11" s="200"/>
      <c r="H11" s="223" t="s">
        <v>602</v>
      </c>
      <c r="I11" s="224">
        <f>I9+I4</f>
        <v>0</v>
      </c>
      <c r="J11" s="224" t="s">
        <v>43</v>
      </c>
    </row>
    <row r="12" spans="1:159" ht="15.75" thickBot="1">
      <c r="A12" s="212" t="s">
        <v>163</v>
      </c>
      <c r="B12" s="569"/>
      <c r="C12" s="206"/>
      <c r="D12" s="206"/>
      <c r="E12" s="208" t="s">
        <v>41</v>
      </c>
      <c r="F12" s="206" t="s">
        <v>367</v>
      </c>
      <c r="G12" s="200"/>
      <c r="H12" s="200"/>
      <c r="I12" s="200"/>
    </row>
    <row r="13" spans="1:159" s="136" customFormat="1" ht="15.75" thickBot="1">
      <c r="A13" s="202" t="s">
        <v>340</v>
      </c>
      <c r="B13" s="273" t="s">
        <v>503</v>
      </c>
      <c r="C13" s="273" t="s">
        <v>504</v>
      </c>
      <c r="D13" s="273" t="s">
        <v>505</v>
      </c>
      <c r="E13" s="273"/>
      <c r="F13" s="273"/>
      <c r="G13" s="273"/>
      <c r="H13" s="273"/>
      <c r="I13" s="273">
        <v>1</v>
      </c>
      <c r="J13" s="273">
        <v>2</v>
      </c>
      <c r="K13" s="273">
        <v>3</v>
      </c>
      <c r="L13" s="273" t="s">
        <v>512</v>
      </c>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row>
    <row r="14" spans="1:159" s="39" customFormat="1" ht="18.600000000000001" customHeight="1">
      <c r="A14" s="543" t="s">
        <v>373</v>
      </c>
      <c r="B14" s="568" t="s">
        <v>502</v>
      </c>
      <c r="C14" s="568" t="s">
        <v>14</v>
      </c>
      <c r="D14" s="568" t="s">
        <v>14</v>
      </c>
      <c r="E14" s="205"/>
      <c r="F14" s="206"/>
      <c r="G14" s="35"/>
      <c r="H14" s="219" t="s">
        <v>345</v>
      </c>
      <c r="I14" s="222" t="b">
        <f t="shared" ref="I14:K15" si="0">IF(B14="None",FALSE,TRUE)</f>
        <v>1</v>
      </c>
      <c r="J14" s="222" t="b">
        <f t="shared" si="0"/>
        <v>0</v>
      </c>
      <c r="K14" s="222" t="b">
        <f t="shared" si="0"/>
        <v>0</v>
      </c>
      <c r="L14" s="222" t="b">
        <f>IF(OR(I14,J14,K14),TRUE,FALSE)</f>
        <v>1</v>
      </c>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row>
    <row r="15" spans="1:159" s="39" customFormat="1" ht="19.149999999999999" customHeight="1">
      <c r="A15" s="543" t="s">
        <v>374</v>
      </c>
      <c r="B15" s="568" t="s">
        <v>502</v>
      </c>
      <c r="C15" s="568" t="s">
        <v>14</v>
      </c>
      <c r="D15" s="568" t="s">
        <v>14</v>
      </c>
      <c r="E15" s="205"/>
      <c r="F15" s="206"/>
      <c r="G15" s="35"/>
      <c r="H15" s="219" t="s">
        <v>346</v>
      </c>
      <c r="I15" s="222" t="b">
        <f t="shared" si="0"/>
        <v>1</v>
      </c>
      <c r="J15" s="222" t="b">
        <f t="shared" si="0"/>
        <v>0</v>
      </c>
      <c r="K15" s="222" t="b">
        <f t="shared" si="0"/>
        <v>0</v>
      </c>
      <c r="L15" s="222" t="b">
        <f>IF(OR(I15,J15,K15),TRUE,FALSE)</f>
        <v>1</v>
      </c>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row>
    <row r="16" spans="1:159" s="39" customFormat="1" ht="31.15" customHeight="1">
      <c r="A16" s="543" t="s">
        <v>506</v>
      </c>
      <c r="B16" s="541">
        <v>0</v>
      </c>
      <c r="C16" s="541">
        <v>0</v>
      </c>
      <c r="D16" s="541">
        <v>0</v>
      </c>
      <c r="E16" s="321" t="str">
        <f>IF(L14,"Total percentage="&amp;SUM(B16:D16)*100&amp;"%","No space heating")</f>
        <v>Total percentage=0%</v>
      </c>
      <c r="F16" s="206" t="str">
        <f>IF(L14,IF(D16+C16+B16&gt;1,"Error: maximum is 100%",IF($I$19=FALSE,IF(B16+C16+D16&lt;1,"Error: heat pump expected to provide 100% of main space heating", L16),L16)),L16)</f>
        <v>Error: heat pump expected to provide 100% of main space heating</v>
      </c>
      <c r="G16" s="35"/>
      <c r="H16" s="219" t="s">
        <v>603</v>
      </c>
      <c r="I16" s="558" t="e">
        <f>I4*(B16+C16+D16)/$I$11</f>
        <v>#DIV/0!</v>
      </c>
      <c r="L16" s="222" t="s">
        <v>513</v>
      </c>
    </row>
    <row r="17" spans="1:16384" s="39" customFormat="1" ht="37.15" customHeight="1">
      <c r="A17" s="543" t="s">
        <v>507</v>
      </c>
      <c r="B17" s="541">
        <v>0</v>
      </c>
      <c r="C17" s="541">
        <v>0</v>
      </c>
      <c r="D17" s="541">
        <v>0</v>
      </c>
      <c r="E17" s="321" t="str">
        <f>IF(L15,"Total percentage="&amp;SUM(B17:D17)*100&amp;"%","No water heating")</f>
        <v>Total percentage=0%</v>
      </c>
      <c r="F17" s="206" t="str">
        <f>IF(L15,IF(D17+C17+B17&gt;1,"Error: maximum is 100%",IF($I$19=FALSE,IF(B17+C17+D17&lt;1,"Error: heat pump expected to provide 100% of main water heating", L17),L17)),L17)</f>
        <v>Error: heat pump expected to provide 100% of main water heating</v>
      </c>
      <c r="G17" s="35"/>
      <c r="H17" s="219" t="s">
        <v>604</v>
      </c>
      <c r="I17" s="558" t="e">
        <f>I9*(B17+C17+D17)/$I$11</f>
        <v>#DIV/0!</v>
      </c>
      <c r="L17" s="222" t="s">
        <v>514</v>
      </c>
    </row>
    <row r="18" spans="1:16384" s="39" customFormat="1" ht="37.15" customHeight="1">
      <c r="A18" s="543" t="s">
        <v>508</v>
      </c>
      <c r="B18" s="542" t="s">
        <v>38</v>
      </c>
      <c r="C18" s="542" t="s">
        <v>38</v>
      </c>
      <c r="D18" s="542" t="s">
        <v>38</v>
      </c>
      <c r="E18" s="322"/>
      <c r="F18" s="206" t="s">
        <v>510</v>
      </c>
      <c r="G18" s="35"/>
      <c r="H18" s="219"/>
      <c r="I18" s="222"/>
    </row>
    <row r="19" spans="1:16384" ht="30" customHeight="1">
      <c r="A19" s="544" t="s">
        <v>87</v>
      </c>
      <c r="B19" s="542" t="s">
        <v>38</v>
      </c>
      <c r="C19" s="542" t="s">
        <v>38</v>
      </c>
      <c r="D19" s="542" t="s">
        <v>38</v>
      </c>
      <c r="E19" s="557" t="str">
        <f>IF(OR(B19="Yes",C19="Yes",D19="Yes"),"Group heating applies","Individual heating applies")</f>
        <v>Individual heating applies</v>
      </c>
      <c r="F19" s="206" t="s">
        <v>357</v>
      </c>
      <c r="G19" s="35"/>
      <c r="H19" s="223" t="s">
        <v>511</v>
      </c>
      <c r="I19" s="223" t="b">
        <f>IF(OR(B19="Yes",C19="Yes",D19="Yes"),TRUE,FALSE)</f>
        <v>0</v>
      </c>
    </row>
    <row r="20" spans="1:16384" s="5" customFormat="1" ht="30.75" thickBot="1">
      <c r="A20" s="545" t="s">
        <v>452</v>
      </c>
      <c r="B20" s="540"/>
      <c r="C20" s="540"/>
      <c r="D20" s="540"/>
      <c r="E20" s="205" t="s">
        <v>458</v>
      </c>
      <c r="F20" s="206" t="s">
        <v>557</v>
      </c>
      <c r="G20" s="201"/>
      <c r="H20" s="225"/>
      <c r="I20" s="226"/>
      <c r="K20" s="1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row>
    <row r="21" spans="1:16384" s="137" customFormat="1" ht="33.6" customHeight="1" thickBot="1">
      <c r="A21" s="729" t="s">
        <v>632</v>
      </c>
      <c r="B21" s="730"/>
      <c r="C21" s="730"/>
      <c r="D21" s="730"/>
      <c r="E21" s="730"/>
      <c r="F21" s="73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c r="XFB21"/>
      <c r="XFC21"/>
      <c r="XFD21"/>
    </row>
    <row r="22" spans="1:16384" s="136" customFormat="1" ht="42" customHeight="1" thickBot="1">
      <c r="A22" s="202" t="s">
        <v>340</v>
      </c>
      <c r="B22" s="258" t="str">
        <f ca="1">IFERROR(IF((B58+C58+D58)&gt;0,"ERROR. Check all data entries",""),"")</f>
        <v/>
      </c>
      <c r="C22" s="555" t="str">
        <f ca="1">IFERROR(B23+B36+B25+B58+C58+D58,"Error: check entries")</f>
        <v>Error: check entries</v>
      </c>
      <c r="D22" s="258"/>
      <c r="E22" s="203" t="s">
        <v>342</v>
      </c>
      <c r="F22" s="203" t="s">
        <v>343</v>
      </c>
      <c r="G22" s="138"/>
      <c r="H22" s="138"/>
      <c r="I22" s="138"/>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c r="XFB22"/>
      <c r="XFC22"/>
      <c r="XFD22"/>
    </row>
    <row r="23" spans="1:16384" s="39" customFormat="1" ht="30">
      <c r="A23" s="546" t="s">
        <v>369</v>
      </c>
      <c r="B23" s="547" t="e">
        <f>IF(I16&gt;0,SUMPRODUCT(B16:D16,B48:D48) / SUM(B16:D16),0)</f>
        <v>#DIV/0!</v>
      </c>
      <c r="C23" s="548"/>
      <c r="D23" s="548"/>
      <c r="E23" s="213" t="s">
        <v>45</v>
      </c>
      <c r="F23" s="206" t="s">
        <v>623</v>
      </c>
      <c r="G23" s="35"/>
      <c r="H23" s="35"/>
      <c r="I23" s="4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c r="BYP23"/>
      <c r="BYQ23"/>
      <c r="BYR23"/>
      <c r="BYS23"/>
      <c r="BYT23"/>
      <c r="BYU23"/>
      <c r="BYV23"/>
      <c r="BYW23"/>
      <c r="BYX23"/>
      <c r="BYY23"/>
      <c r="BYZ23"/>
      <c r="BZA23"/>
      <c r="BZB23"/>
      <c r="BZC23"/>
      <c r="BZD23"/>
      <c r="BZE23"/>
      <c r="BZF23"/>
      <c r="BZG23"/>
      <c r="BZH23"/>
      <c r="BZI23"/>
      <c r="BZJ23"/>
      <c r="BZK23"/>
      <c r="BZL23"/>
      <c r="BZM23"/>
      <c r="BZN23"/>
      <c r="BZO23"/>
      <c r="BZP23"/>
      <c r="BZQ23"/>
      <c r="BZR23"/>
      <c r="BZS23"/>
      <c r="BZT23"/>
      <c r="BZU23"/>
      <c r="BZV23"/>
      <c r="BZW23"/>
      <c r="BZX23"/>
      <c r="BZY23"/>
      <c r="BZZ23"/>
      <c r="CAA23"/>
      <c r="CAB23"/>
      <c r="CAC23"/>
      <c r="CAD23"/>
      <c r="CAE23"/>
      <c r="CAF23"/>
      <c r="CAG23"/>
      <c r="CAH23"/>
      <c r="CAI23"/>
      <c r="CAJ23"/>
      <c r="CAK23"/>
      <c r="CAL23"/>
      <c r="CAM23"/>
      <c r="CAN23"/>
      <c r="CAO23"/>
      <c r="CAP23"/>
      <c r="CAQ23"/>
      <c r="CAR23"/>
      <c r="CAS23"/>
      <c r="CAT23"/>
      <c r="CAU23"/>
      <c r="CAV23"/>
      <c r="CAW23"/>
      <c r="CAX23"/>
      <c r="CAY23"/>
      <c r="CAZ23"/>
      <c r="CBA23"/>
      <c r="CBB23"/>
      <c r="CBC23"/>
      <c r="CBD23"/>
      <c r="CBE23"/>
      <c r="CBF23"/>
      <c r="CBG23"/>
      <c r="CBH23"/>
      <c r="CBI23"/>
      <c r="CBJ23"/>
      <c r="CBK23"/>
      <c r="CBL23"/>
      <c r="CBM23"/>
      <c r="CBN23"/>
      <c r="CBO23"/>
      <c r="CBP23"/>
      <c r="CBQ23"/>
      <c r="CBR23"/>
      <c r="CBS23"/>
      <c r="CBT23"/>
      <c r="CBU23"/>
      <c r="CBV23"/>
      <c r="CBW23"/>
      <c r="CBX23"/>
      <c r="CBY23"/>
      <c r="CBZ23"/>
      <c r="CCA23"/>
      <c r="CCB23"/>
      <c r="CCC23"/>
      <c r="CCD23"/>
      <c r="CCE23"/>
      <c r="CCF23"/>
      <c r="CCG23"/>
      <c r="CCH23"/>
      <c r="CCI23"/>
      <c r="CCJ23"/>
      <c r="CCK23"/>
      <c r="CCL23"/>
      <c r="CCM23"/>
      <c r="CCN23"/>
      <c r="CCO23"/>
      <c r="CCP23"/>
      <c r="CCQ23"/>
      <c r="CCR23"/>
      <c r="CCS23"/>
      <c r="CCT23"/>
      <c r="CCU23"/>
      <c r="CCV23"/>
      <c r="CCW23"/>
      <c r="CCX23"/>
      <c r="CCY23"/>
      <c r="CCZ23"/>
      <c r="CDA23"/>
      <c r="CDB23"/>
      <c r="CDC23"/>
      <c r="CDD23"/>
      <c r="CDE23"/>
      <c r="CDF23"/>
      <c r="CDG23"/>
      <c r="CDH23"/>
      <c r="CDI23"/>
      <c r="CDJ23"/>
      <c r="CDK23"/>
      <c r="CDL23"/>
      <c r="CDM23"/>
      <c r="CDN23"/>
      <c r="CDO23"/>
      <c r="CDP23"/>
      <c r="CDQ23"/>
      <c r="CDR23"/>
      <c r="CDS23"/>
      <c r="CDT23"/>
      <c r="CDU23"/>
      <c r="CDV23"/>
      <c r="CDW23"/>
      <c r="CDX23"/>
      <c r="CDY23"/>
      <c r="CDZ23"/>
      <c r="CEA23"/>
      <c r="CEB23"/>
      <c r="CEC23"/>
      <c r="CED23"/>
      <c r="CEE23"/>
      <c r="CEF23"/>
      <c r="CEG23"/>
      <c r="CEH23"/>
      <c r="CEI23"/>
      <c r="CEJ23"/>
      <c r="CEK23"/>
      <c r="CEL23"/>
      <c r="CEM23"/>
      <c r="CEN23"/>
      <c r="CEO23"/>
      <c r="CEP23"/>
      <c r="CEQ23"/>
      <c r="CER23"/>
      <c r="CES23"/>
      <c r="CET23"/>
      <c r="CEU23"/>
      <c r="CEV23"/>
      <c r="CEW23"/>
      <c r="CEX23"/>
      <c r="CEY23"/>
      <c r="CEZ23"/>
      <c r="CFA23"/>
      <c r="CFB23"/>
      <c r="CFC23"/>
      <c r="CFD23"/>
      <c r="CFE23"/>
      <c r="CFF23"/>
      <c r="CFG23"/>
      <c r="CFH23"/>
      <c r="CFI23"/>
      <c r="CFJ23"/>
      <c r="CFK23"/>
      <c r="CFL23"/>
      <c r="CFM23"/>
      <c r="CFN23"/>
      <c r="CFO23"/>
      <c r="CFP23"/>
      <c r="CFQ23"/>
      <c r="CFR23"/>
      <c r="CFS23"/>
      <c r="CFT23"/>
      <c r="CFU23"/>
      <c r="CFV23"/>
      <c r="CFW23"/>
      <c r="CFX23"/>
      <c r="CFY23"/>
      <c r="CFZ23"/>
      <c r="CGA23"/>
      <c r="CGB23"/>
      <c r="CGC23"/>
      <c r="CGD23"/>
      <c r="CGE23"/>
      <c r="CGF23"/>
      <c r="CGG23"/>
      <c r="CGH23"/>
      <c r="CGI23"/>
      <c r="CGJ23"/>
      <c r="CGK23"/>
      <c r="CGL23"/>
      <c r="CGM23"/>
      <c r="CGN23"/>
      <c r="CGO23"/>
      <c r="CGP23"/>
      <c r="CGQ23"/>
      <c r="CGR23"/>
      <c r="CGS23"/>
      <c r="CGT23"/>
      <c r="CGU23"/>
      <c r="CGV23"/>
      <c r="CGW23"/>
      <c r="CGX23"/>
      <c r="CGY23"/>
      <c r="CGZ23"/>
      <c r="CHA23"/>
      <c r="CHB23"/>
      <c r="CHC23"/>
      <c r="CHD23"/>
      <c r="CHE23"/>
      <c r="CHF23"/>
      <c r="CHG23"/>
      <c r="CHH23"/>
      <c r="CHI23"/>
      <c r="CHJ23"/>
      <c r="CHK23"/>
      <c r="CHL23"/>
      <c r="CHM23"/>
      <c r="CHN23"/>
      <c r="CHO23"/>
      <c r="CHP23"/>
      <c r="CHQ23"/>
      <c r="CHR23"/>
      <c r="CHS23"/>
      <c r="CHT23"/>
      <c r="CHU23"/>
      <c r="CHV23"/>
      <c r="CHW23"/>
      <c r="CHX23"/>
      <c r="CHY23"/>
      <c r="CHZ23"/>
      <c r="CIA23"/>
      <c r="CIB23"/>
      <c r="CIC23"/>
      <c r="CID23"/>
      <c r="CIE23"/>
      <c r="CIF23"/>
      <c r="CIG23"/>
      <c r="CIH23"/>
      <c r="CII23"/>
      <c r="CIJ23"/>
      <c r="CIK23"/>
      <c r="CIL23"/>
      <c r="CIM23"/>
      <c r="CIN23"/>
      <c r="CIO23"/>
      <c r="CIP23"/>
      <c r="CIQ23"/>
      <c r="CIR23"/>
      <c r="CIS23"/>
      <c r="CIT23"/>
      <c r="CIU23"/>
      <c r="CIV23"/>
      <c r="CIW23"/>
      <c r="CIX23"/>
      <c r="CIY23"/>
      <c r="CIZ23"/>
      <c r="CJA23"/>
      <c r="CJB23"/>
      <c r="CJC23"/>
      <c r="CJD23"/>
      <c r="CJE23"/>
      <c r="CJF23"/>
      <c r="CJG23"/>
      <c r="CJH23"/>
      <c r="CJI23"/>
      <c r="CJJ23"/>
      <c r="CJK23"/>
      <c r="CJL23"/>
      <c r="CJM23"/>
      <c r="CJN23"/>
      <c r="CJO23"/>
      <c r="CJP23"/>
      <c r="CJQ23"/>
      <c r="CJR23"/>
      <c r="CJS23"/>
      <c r="CJT23"/>
      <c r="CJU23"/>
      <c r="CJV23"/>
      <c r="CJW23"/>
      <c r="CJX23"/>
      <c r="CJY23"/>
      <c r="CJZ23"/>
      <c r="CKA23"/>
      <c r="CKB23"/>
      <c r="CKC23"/>
      <c r="CKD23"/>
      <c r="CKE23"/>
      <c r="CKF23"/>
      <c r="CKG23"/>
      <c r="CKH23"/>
      <c r="CKI23"/>
      <c r="CKJ23"/>
      <c r="CKK23"/>
      <c r="CKL23"/>
      <c r="CKM23"/>
      <c r="CKN23"/>
      <c r="CKO23"/>
      <c r="CKP23"/>
      <c r="CKQ23"/>
      <c r="CKR23"/>
      <c r="CKS23"/>
      <c r="CKT23"/>
      <c r="CKU23"/>
      <c r="CKV23"/>
      <c r="CKW23"/>
      <c r="CKX23"/>
      <c r="CKY23"/>
      <c r="CKZ23"/>
      <c r="CLA23"/>
      <c r="CLB23"/>
      <c r="CLC23"/>
      <c r="CLD23"/>
      <c r="CLE23"/>
      <c r="CLF23"/>
      <c r="CLG23"/>
      <c r="CLH23"/>
      <c r="CLI23"/>
      <c r="CLJ23"/>
      <c r="CLK23"/>
      <c r="CLL23"/>
      <c r="CLM23"/>
      <c r="CLN23"/>
      <c r="CLO23"/>
      <c r="CLP23"/>
      <c r="CLQ23"/>
      <c r="CLR23"/>
      <c r="CLS23"/>
      <c r="CLT23"/>
      <c r="CLU23"/>
      <c r="CLV23"/>
      <c r="CLW23"/>
      <c r="CLX23"/>
      <c r="CLY23"/>
      <c r="CLZ23"/>
      <c r="CMA23"/>
      <c r="CMB23"/>
      <c r="CMC23"/>
      <c r="CMD23"/>
      <c r="CME23"/>
      <c r="CMF23"/>
      <c r="CMG23"/>
      <c r="CMH23"/>
      <c r="CMI23"/>
      <c r="CMJ23"/>
      <c r="CMK23"/>
      <c r="CML23"/>
      <c r="CMM23"/>
      <c r="CMN23"/>
      <c r="CMO23"/>
      <c r="CMP23"/>
      <c r="CMQ23"/>
      <c r="CMR23"/>
      <c r="CMS23"/>
      <c r="CMT23"/>
      <c r="CMU23"/>
      <c r="CMV23"/>
      <c r="CMW23"/>
      <c r="CMX23"/>
      <c r="CMY23"/>
      <c r="CMZ23"/>
      <c r="CNA23"/>
      <c r="CNB23"/>
      <c r="CNC23"/>
      <c r="CND23"/>
      <c r="CNE23"/>
      <c r="CNF23"/>
      <c r="CNG23"/>
      <c r="CNH23"/>
      <c r="CNI23"/>
      <c r="CNJ23"/>
      <c r="CNK23"/>
      <c r="CNL23"/>
      <c r="CNM23"/>
      <c r="CNN23"/>
      <c r="CNO23"/>
      <c r="CNP23"/>
      <c r="CNQ23"/>
      <c r="CNR23"/>
      <c r="CNS23"/>
      <c r="CNT23"/>
      <c r="CNU23"/>
      <c r="CNV23"/>
      <c r="CNW23"/>
      <c r="CNX23"/>
      <c r="CNY23"/>
      <c r="CNZ23"/>
      <c r="COA23"/>
      <c r="COB23"/>
      <c r="COC23"/>
      <c r="COD23"/>
      <c r="COE23"/>
      <c r="COF23"/>
      <c r="COG23"/>
      <c r="COH23"/>
      <c r="COI23"/>
      <c r="COJ23"/>
      <c r="COK23"/>
      <c r="COL23"/>
      <c r="COM23"/>
      <c r="CON23"/>
      <c r="COO23"/>
      <c r="COP23"/>
      <c r="COQ23"/>
      <c r="COR23"/>
      <c r="COS23"/>
      <c r="COT23"/>
      <c r="COU23"/>
      <c r="COV23"/>
      <c r="COW23"/>
      <c r="COX23"/>
      <c r="COY23"/>
      <c r="COZ23"/>
      <c r="CPA23"/>
      <c r="CPB23"/>
      <c r="CPC23"/>
      <c r="CPD23"/>
      <c r="CPE23"/>
      <c r="CPF23"/>
      <c r="CPG23"/>
      <c r="CPH23"/>
      <c r="CPI23"/>
      <c r="CPJ23"/>
      <c r="CPK23"/>
      <c r="CPL23"/>
      <c r="CPM23"/>
      <c r="CPN23"/>
      <c r="CPO23"/>
      <c r="CPP23"/>
      <c r="CPQ23"/>
      <c r="CPR23"/>
      <c r="CPS23"/>
      <c r="CPT23"/>
      <c r="CPU23"/>
      <c r="CPV23"/>
      <c r="CPW23"/>
      <c r="CPX23"/>
      <c r="CPY23"/>
      <c r="CPZ23"/>
      <c r="CQA23"/>
      <c r="CQB23"/>
      <c r="CQC23"/>
      <c r="CQD23"/>
      <c r="CQE23"/>
      <c r="CQF23"/>
      <c r="CQG23"/>
      <c r="CQH23"/>
      <c r="CQI23"/>
      <c r="CQJ23"/>
      <c r="CQK23"/>
      <c r="CQL23"/>
      <c r="CQM23"/>
      <c r="CQN23"/>
      <c r="CQO23"/>
      <c r="CQP23"/>
      <c r="CQQ23"/>
      <c r="CQR23"/>
      <c r="CQS23"/>
      <c r="CQT23"/>
      <c r="CQU23"/>
      <c r="CQV23"/>
      <c r="CQW23"/>
      <c r="CQX23"/>
      <c r="CQY23"/>
      <c r="CQZ23"/>
      <c r="CRA23"/>
      <c r="CRB23"/>
      <c r="CRC23"/>
      <c r="CRD23"/>
      <c r="CRE23"/>
      <c r="CRF23"/>
      <c r="CRG23"/>
      <c r="CRH23"/>
      <c r="CRI23"/>
      <c r="CRJ23"/>
      <c r="CRK23"/>
      <c r="CRL23"/>
      <c r="CRM23"/>
      <c r="CRN23"/>
      <c r="CRO23"/>
      <c r="CRP23"/>
      <c r="CRQ23"/>
      <c r="CRR23"/>
      <c r="CRS23"/>
      <c r="CRT23"/>
      <c r="CRU23"/>
      <c r="CRV23"/>
      <c r="CRW23"/>
      <c r="CRX23"/>
      <c r="CRY23"/>
      <c r="CRZ23"/>
      <c r="CSA23"/>
      <c r="CSB23"/>
      <c r="CSC23"/>
      <c r="CSD23"/>
      <c r="CSE23"/>
      <c r="CSF23"/>
      <c r="CSG23"/>
      <c r="CSH23"/>
      <c r="CSI23"/>
      <c r="CSJ23"/>
      <c r="CSK23"/>
      <c r="CSL23"/>
      <c r="CSM23"/>
      <c r="CSN23"/>
      <c r="CSO23"/>
      <c r="CSP23"/>
      <c r="CSQ23"/>
      <c r="CSR23"/>
      <c r="CSS23"/>
      <c r="CST23"/>
      <c r="CSU23"/>
      <c r="CSV23"/>
      <c r="CSW23"/>
      <c r="CSX23"/>
      <c r="CSY23"/>
      <c r="CSZ23"/>
      <c r="CTA23"/>
      <c r="CTB23"/>
      <c r="CTC23"/>
      <c r="CTD23"/>
      <c r="CTE23"/>
      <c r="CTF23"/>
      <c r="CTG23"/>
      <c r="CTH23"/>
      <c r="CTI23"/>
      <c r="CTJ23"/>
      <c r="CTK23"/>
      <c r="CTL23"/>
      <c r="CTM23"/>
      <c r="CTN23"/>
      <c r="CTO23"/>
      <c r="CTP23"/>
      <c r="CTQ23"/>
      <c r="CTR23"/>
      <c r="CTS23"/>
      <c r="CTT23"/>
      <c r="CTU23"/>
      <c r="CTV23"/>
      <c r="CTW23"/>
      <c r="CTX23"/>
      <c r="CTY23"/>
      <c r="CTZ23"/>
      <c r="CUA23"/>
      <c r="CUB23"/>
      <c r="CUC23"/>
      <c r="CUD23"/>
      <c r="CUE23"/>
      <c r="CUF23"/>
      <c r="CUG23"/>
      <c r="CUH23"/>
      <c r="CUI23"/>
      <c r="CUJ23"/>
      <c r="CUK23"/>
      <c r="CUL23"/>
      <c r="CUM23"/>
      <c r="CUN23"/>
      <c r="CUO23"/>
      <c r="CUP23"/>
      <c r="CUQ23"/>
      <c r="CUR23"/>
      <c r="CUS23"/>
      <c r="CUT23"/>
      <c r="CUU23"/>
      <c r="CUV23"/>
      <c r="CUW23"/>
      <c r="CUX23"/>
      <c r="CUY23"/>
      <c r="CUZ23"/>
      <c r="CVA23"/>
      <c r="CVB23"/>
      <c r="CVC23"/>
      <c r="CVD23"/>
      <c r="CVE23"/>
      <c r="CVF23"/>
      <c r="CVG23"/>
      <c r="CVH23"/>
      <c r="CVI23"/>
      <c r="CVJ23"/>
      <c r="CVK23"/>
      <c r="CVL23"/>
      <c r="CVM23"/>
      <c r="CVN23"/>
      <c r="CVO23"/>
      <c r="CVP23"/>
      <c r="CVQ23"/>
      <c r="CVR23"/>
      <c r="CVS23"/>
      <c r="CVT23"/>
      <c r="CVU23"/>
      <c r="CVV23"/>
      <c r="CVW23"/>
      <c r="CVX23"/>
      <c r="CVY23"/>
      <c r="CVZ23"/>
      <c r="CWA23"/>
      <c r="CWB23"/>
      <c r="CWC23"/>
      <c r="CWD23"/>
      <c r="CWE23"/>
      <c r="CWF23"/>
      <c r="CWG23"/>
      <c r="CWH23"/>
      <c r="CWI23"/>
      <c r="CWJ23"/>
      <c r="CWK23"/>
      <c r="CWL23"/>
      <c r="CWM23"/>
      <c r="CWN23"/>
      <c r="CWO23"/>
      <c r="CWP23"/>
      <c r="CWQ23"/>
      <c r="CWR23"/>
      <c r="CWS23"/>
      <c r="CWT23"/>
      <c r="CWU23"/>
      <c r="CWV23"/>
      <c r="CWW23"/>
      <c r="CWX23"/>
      <c r="CWY23"/>
      <c r="CWZ23"/>
      <c r="CXA23"/>
      <c r="CXB23"/>
      <c r="CXC23"/>
      <c r="CXD23"/>
      <c r="CXE23"/>
      <c r="CXF23"/>
      <c r="CXG23"/>
      <c r="CXH23"/>
      <c r="CXI23"/>
      <c r="CXJ23"/>
      <c r="CXK23"/>
      <c r="CXL23"/>
      <c r="CXM23"/>
      <c r="CXN23"/>
      <c r="CXO23"/>
      <c r="CXP23"/>
      <c r="CXQ23"/>
      <c r="CXR23"/>
      <c r="CXS23"/>
      <c r="CXT23"/>
      <c r="CXU23"/>
      <c r="CXV23"/>
      <c r="CXW23"/>
      <c r="CXX23"/>
      <c r="CXY23"/>
      <c r="CXZ23"/>
      <c r="CYA23"/>
      <c r="CYB23"/>
      <c r="CYC23"/>
      <c r="CYD23"/>
      <c r="CYE23"/>
      <c r="CYF23"/>
      <c r="CYG23"/>
      <c r="CYH23"/>
      <c r="CYI23"/>
      <c r="CYJ23"/>
      <c r="CYK23"/>
      <c r="CYL23"/>
      <c r="CYM23"/>
      <c r="CYN23"/>
      <c r="CYO23"/>
      <c r="CYP23"/>
      <c r="CYQ23"/>
      <c r="CYR23"/>
      <c r="CYS23"/>
      <c r="CYT23"/>
      <c r="CYU23"/>
      <c r="CYV23"/>
      <c r="CYW23"/>
      <c r="CYX23"/>
      <c r="CYY23"/>
      <c r="CYZ23"/>
      <c r="CZA23"/>
      <c r="CZB23"/>
      <c r="CZC23"/>
      <c r="CZD23"/>
      <c r="CZE23"/>
      <c r="CZF23"/>
      <c r="CZG23"/>
      <c r="CZH23"/>
      <c r="CZI23"/>
      <c r="CZJ23"/>
      <c r="CZK23"/>
      <c r="CZL23"/>
      <c r="CZM23"/>
      <c r="CZN23"/>
      <c r="CZO23"/>
      <c r="CZP23"/>
      <c r="CZQ23"/>
      <c r="CZR23"/>
      <c r="CZS23"/>
      <c r="CZT23"/>
      <c r="CZU23"/>
      <c r="CZV23"/>
      <c r="CZW23"/>
      <c r="CZX23"/>
      <c r="CZY23"/>
      <c r="CZZ23"/>
      <c r="DAA23"/>
      <c r="DAB23"/>
      <c r="DAC23"/>
      <c r="DAD23"/>
      <c r="DAE23"/>
      <c r="DAF23"/>
      <c r="DAG23"/>
      <c r="DAH23"/>
      <c r="DAI23"/>
      <c r="DAJ23"/>
      <c r="DAK23"/>
      <c r="DAL23"/>
      <c r="DAM23"/>
      <c r="DAN23"/>
      <c r="DAO23"/>
      <c r="DAP23"/>
      <c r="DAQ23"/>
      <c r="DAR23"/>
      <c r="DAS23"/>
      <c r="DAT23"/>
      <c r="DAU23"/>
      <c r="DAV23"/>
      <c r="DAW23"/>
      <c r="DAX23"/>
      <c r="DAY23"/>
      <c r="DAZ23"/>
      <c r="DBA23"/>
      <c r="DBB23"/>
      <c r="DBC23"/>
      <c r="DBD23"/>
      <c r="DBE23"/>
      <c r="DBF23"/>
      <c r="DBG23"/>
      <c r="DBH23"/>
      <c r="DBI23"/>
      <c r="DBJ23"/>
      <c r="DBK23"/>
      <c r="DBL23"/>
      <c r="DBM23"/>
      <c r="DBN23"/>
      <c r="DBO23"/>
      <c r="DBP23"/>
      <c r="DBQ23"/>
      <c r="DBR23"/>
      <c r="DBS23"/>
      <c r="DBT23"/>
      <c r="DBU23"/>
      <c r="DBV23"/>
      <c r="DBW23"/>
      <c r="DBX23"/>
      <c r="DBY23"/>
      <c r="DBZ23"/>
      <c r="DCA23"/>
      <c r="DCB23"/>
      <c r="DCC23"/>
      <c r="DCD23"/>
      <c r="DCE23"/>
      <c r="DCF23"/>
      <c r="DCG23"/>
      <c r="DCH23"/>
      <c r="DCI23"/>
      <c r="DCJ23"/>
      <c r="DCK23"/>
      <c r="DCL23"/>
      <c r="DCM23"/>
      <c r="DCN23"/>
      <c r="DCO23"/>
      <c r="DCP23"/>
      <c r="DCQ23"/>
      <c r="DCR23"/>
      <c r="DCS23"/>
      <c r="DCT23"/>
      <c r="DCU23"/>
      <c r="DCV23"/>
      <c r="DCW23"/>
      <c r="DCX23"/>
      <c r="DCY23"/>
      <c r="DCZ23"/>
      <c r="DDA23"/>
      <c r="DDB23"/>
      <c r="DDC23"/>
      <c r="DDD23"/>
      <c r="DDE23"/>
      <c r="DDF23"/>
      <c r="DDG23"/>
      <c r="DDH23"/>
      <c r="DDI23"/>
      <c r="DDJ23"/>
      <c r="DDK23"/>
      <c r="DDL23"/>
      <c r="DDM23"/>
      <c r="DDN23"/>
      <c r="DDO23"/>
      <c r="DDP23"/>
      <c r="DDQ23"/>
      <c r="DDR23"/>
      <c r="DDS23"/>
      <c r="DDT23"/>
      <c r="DDU23"/>
      <c r="DDV23"/>
      <c r="DDW23"/>
      <c r="DDX23"/>
      <c r="DDY23"/>
      <c r="DDZ23"/>
      <c r="DEA23"/>
      <c r="DEB23"/>
      <c r="DEC23"/>
      <c r="DED23"/>
      <c r="DEE23"/>
      <c r="DEF23"/>
      <c r="DEG23"/>
      <c r="DEH23"/>
      <c r="DEI23"/>
      <c r="DEJ23"/>
      <c r="DEK23"/>
      <c r="DEL23"/>
      <c r="DEM23"/>
      <c r="DEN23"/>
      <c r="DEO23"/>
      <c r="DEP23"/>
      <c r="DEQ23"/>
      <c r="DER23"/>
      <c r="DES23"/>
      <c r="DET23"/>
      <c r="DEU23"/>
      <c r="DEV23"/>
      <c r="DEW23"/>
      <c r="DEX23"/>
      <c r="DEY23"/>
      <c r="DEZ23"/>
      <c r="DFA23"/>
      <c r="DFB23"/>
      <c r="DFC23"/>
      <c r="DFD23"/>
      <c r="DFE23"/>
      <c r="DFF23"/>
      <c r="DFG23"/>
      <c r="DFH23"/>
      <c r="DFI23"/>
      <c r="DFJ23"/>
      <c r="DFK23"/>
      <c r="DFL23"/>
      <c r="DFM23"/>
      <c r="DFN23"/>
      <c r="DFO23"/>
      <c r="DFP23"/>
      <c r="DFQ23"/>
      <c r="DFR23"/>
      <c r="DFS23"/>
      <c r="DFT23"/>
      <c r="DFU23"/>
      <c r="DFV23"/>
      <c r="DFW23"/>
      <c r="DFX23"/>
      <c r="DFY23"/>
      <c r="DFZ23"/>
      <c r="DGA23"/>
      <c r="DGB23"/>
      <c r="DGC23"/>
      <c r="DGD23"/>
      <c r="DGE23"/>
      <c r="DGF23"/>
      <c r="DGG23"/>
      <c r="DGH23"/>
      <c r="DGI23"/>
      <c r="DGJ23"/>
      <c r="DGK23"/>
      <c r="DGL23"/>
      <c r="DGM23"/>
      <c r="DGN23"/>
      <c r="DGO23"/>
      <c r="DGP23"/>
      <c r="DGQ23"/>
      <c r="DGR23"/>
      <c r="DGS23"/>
      <c r="DGT23"/>
      <c r="DGU23"/>
      <c r="DGV23"/>
      <c r="DGW23"/>
      <c r="DGX23"/>
      <c r="DGY23"/>
      <c r="DGZ23"/>
      <c r="DHA23"/>
      <c r="DHB23"/>
      <c r="DHC23"/>
      <c r="DHD23"/>
      <c r="DHE23"/>
      <c r="DHF23"/>
      <c r="DHG23"/>
      <c r="DHH23"/>
      <c r="DHI23"/>
      <c r="DHJ23"/>
      <c r="DHK23"/>
      <c r="DHL23"/>
      <c r="DHM23"/>
      <c r="DHN23"/>
      <c r="DHO23"/>
      <c r="DHP23"/>
      <c r="DHQ23"/>
      <c r="DHR23"/>
      <c r="DHS23"/>
      <c r="DHT23"/>
      <c r="DHU23"/>
      <c r="DHV23"/>
      <c r="DHW23"/>
      <c r="DHX23"/>
      <c r="DHY23"/>
      <c r="DHZ23"/>
      <c r="DIA23"/>
      <c r="DIB23"/>
      <c r="DIC23"/>
      <c r="DID23"/>
      <c r="DIE23"/>
      <c r="DIF23"/>
      <c r="DIG23"/>
      <c r="DIH23"/>
      <c r="DII23"/>
      <c r="DIJ23"/>
      <c r="DIK23"/>
      <c r="DIL23"/>
      <c r="DIM23"/>
      <c r="DIN23"/>
      <c r="DIO23"/>
      <c r="DIP23"/>
      <c r="DIQ23"/>
      <c r="DIR23"/>
      <c r="DIS23"/>
      <c r="DIT23"/>
      <c r="DIU23"/>
      <c r="DIV23"/>
      <c r="DIW23"/>
      <c r="DIX23"/>
      <c r="DIY23"/>
      <c r="DIZ23"/>
      <c r="DJA23"/>
      <c r="DJB23"/>
      <c r="DJC23"/>
      <c r="DJD23"/>
      <c r="DJE23"/>
      <c r="DJF23"/>
      <c r="DJG23"/>
      <c r="DJH23"/>
      <c r="DJI23"/>
      <c r="DJJ23"/>
      <c r="DJK23"/>
      <c r="DJL23"/>
      <c r="DJM23"/>
      <c r="DJN23"/>
      <c r="DJO23"/>
      <c r="DJP23"/>
      <c r="DJQ23"/>
      <c r="DJR23"/>
      <c r="DJS23"/>
      <c r="DJT23"/>
      <c r="DJU23"/>
      <c r="DJV23"/>
      <c r="DJW23"/>
      <c r="DJX23"/>
      <c r="DJY23"/>
      <c r="DJZ23"/>
      <c r="DKA23"/>
      <c r="DKB23"/>
      <c r="DKC23"/>
      <c r="DKD23"/>
      <c r="DKE23"/>
      <c r="DKF23"/>
      <c r="DKG23"/>
      <c r="DKH23"/>
      <c r="DKI23"/>
      <c r="DKJ23"/>
      <c r="DKK23"/>
      <c r="DKL23"/>
      <c r="DKM23"/>
      <c r="DKN23"/>
      <c r="DKO23"/>
      <c r="DKP23"/>
      <c r="DKQ23"/>
      <c r="DKR23"/>
      <c r="DKS23"/>
      <c r="DKT23"/>
      <c r="DKU23"/>
      <c r="DKV23"/>
      <c r="DKW23"/>
      <c r="DKX23"/>
      <c r="DKY23"/>
      <c r="DKZ23"/>
      <c r="DLA23"/>
      <c r="DLB23"/>
      <c r="DLC23"/>
      <c r="DLD23"/>
      <c r="DLE23"/>
      <c r="DLF23"/>
      <c r="DLG23"/>
      <c r="DLH23"/>
      <c r="DLI23"/>
      <c r="DLJ23"/>
      <c r="DLK23"/>
      <c r="DLL23"/>
      <c r="DLM23"/>
      <c r="DLN23"/>
      <c r="DLO23"/>
      <c r="DLP23"/>
      <c r="DLQ23"/>
      <c r="DLR23"/>
      <c r="DLS23"/>
      <c r="DLT23"/>
      <c r="DLU23"/>
      <c r="DLV23"/>
      <c r="DLW23"/>
      <c r="DLX23"/>
      <c r="DLY23"/>
      <c r="DLZ23"/>
      <c r="DMA23"/>
      <c r="DMB23"/>
      <c r="DMC23"/>
      <c r="DMD23"/>
      <c r="DME23"/>
      <c r="DMF23"/>
      <c r="DMG23"/>
      <c r="DMH23"/>
      <c r="DMI23"/>
      <c r="DMJ23"/>
      <c r="DMK23"/>
      <c r="DML23"/>
      <c r="DMM23"/>
      <c r="DMN23"/>
      <c r="DMO23"/>
      <c r="DMP23"/>
      <c r="DMQ23"/>
      <c r="DMR23"/>
      <c r="DMS23"/>
      <c r="DMT23"/>
      <c r="DMU23"/>
      <c r="DMV23"/>
      <c r="DMW23"/>
      <c r="DMX23"/>
      <c r="DMY23"/>
      <c r="DMZ23"/>
      <c r="DNA23"/>
      <c r="DNB23"/>
      <c r="DNC23"/>
      <c r="DND23"/>
      <c r="DNE23"/>
      <c r="DNF23"/>
      <c r="DNG23"/>
      <c r="DNH23"/>
      <c r="DNI23"/>
      <c r="DNJ23"/>
      <c r="DNK23"/>
      <c r="DNL23"/>
      <c r="DNM23"/>
      <c r="DNN23"/>
      <c r="DNO23"/>
      <c r="DNP23"/>
      <c r="DNQ23"/>
      <c r="DNR23"/>
      <c r="DNS23"/>
      <c r="DNT23"/>
      <c r="DNU23"/>
      <c r="DNV23"/>
      <c r="DNW23"/>
      <c r="DNX23"/>
      <c r="DNY23"/>
      <c r="DNZ23"/>
      <c r="DOA23"/>
      <c r="DOB23"/>
      <c r="DOC23"/>
      <c r="DOD23"/>
      <c r="DOE23"/>
      <c r="DOF23"/>
      <c r="DOG23"/>
      <c r="DOH23"/>
      <c r="DOI23"/>
      <c r="DOJ23"/>
      <c r="DOK23"/>
      <c r="DOL23"/>
      <c r="DOM23"/>
      <c r="DON23"/>
      <c r="DOO23"/>
      <c r="DOP23"/>
      <c r="DOQ23"/>
      <c r="DOR23"/>
      <c r="DOS23"/>
      <c r="DOT23"/>
      <c r="DOU23"/>
      <c r="DOV23"/>
      <c r="DOW23"/>
      <c r="DOX23"/>
      <c r="DOY23"/>
      <c r="DOZ23"/>
      <c r="DPA23"/>
      <c r="DPB23"/>
      <c r="DPC23"/>
      <c r="DPD23"/>
      <c r="DPE23"/>
      <c r="DPF23"/>
      <c r="DPG23"/>
      <c r="DPH23"/>
      <c r="DPI23"/>
      <c r="DPJ23"/>
      <c r="DPK23"/>
      <c r="DPL23"/>
      <c r="DPM23"/>
      <c r="DPN23"/>
      <c r="DPO23"/>
      <c r="DPP23"/>
      <c r="DPQ23"/>
      <c r="DPR23"/>
      <c r="DPS23"/>
      <c r="DPT23"/>
      <c r="DPU23"/>
      <c r="DPV23"/>
      <c r="DPW23"/>
      <c r="DPX23"/>
      <c r="DPY23"/>
      <c r="DPZ23"/>
      <c r="DQA23"/>
      <c r="DQB23"/>
      <c r="DQC23"/>
      <c r="DQD23"/>
      <c r="DQE23"/>
      <c r="DQF23"/>
      <c r="DQG23"/>
      <c r="DQH23"/>
      <c r="DQI23"/>
      <c r="DQJ23"/>
      <c r="DQK23"/>
      <c r="DQL23"/>
      <c r="DQM23"/>
      <c r="DQN23"/>
      <c r="DQO23"/>
      <c r="DQP23"/>
      <c r="DQQ23"/>
      <c r="DQR23"/>
      <c r="DQS23"/>
      <c r="DQT23"/>
      <c r="DQU23"/>
      <c r="DQV23"/>
      <c r="DQW23"/>
      <c r="DQX23"/>
      <c r="DQY23"/>
      <c r="DQZ23"/>
      <c r="DRA23"/>
      <c r="DRB23"/>
      <c r="DRC23"/>
      <c r="DRD23"/>
      <c r="DRE23"/>
      <c r="DRF23"/>
      <c r="DRG23"/>
      <c r="DRH23"/>
      <c r="DRI23"/>
      <c r="DRJ23"/>
      <c r="DRK23"/>
      <c r="DRL23"/>
      <c r="DRM23"/>
      <c r="DRN23"/>
      <c r="DRO23"/>
      <c r="DRP23"/>
      <c r="DRQ23"/>
      <c r="DRR23"/>
      <c r="DRS23"/>
      <c r="DRT23"/>
      <c r="DRU23"/>
      <c r="DRV23"/>
      <c r="DRW23"/>
      <c r="DRX23"/>
      <c r="DRY23"/>
      <c r="DRZ23"/>
      <c r="DSA23"/>
      <c r="DSB23"/>
      <c r="DSC23"/>
      <c r="DSD23"/>
      <c r="DSE23"/>
      <c r="DSF23"/>
      <c r="DSG23"/>
      <c r="DSH23"/>
      <c r="DSI23"/>
      <c r="DSJ23"/>
      <c r="DSK23"/>
      <c r="DSL23"/>
      <c r="DSM23"/>
      <c r="DSN23"/>
      <c r="DSO23"/>
      <c r="DSP23"/>
      <c r="DSQ23"/>
      <c r="DSR23"/>
      <c r="DSS23"/>
      <c r="DST23"/>
      <c r="DSU23"/>
      <c r="DSV23"/>
      <c r="DSW23"/>
      <c r="DSX23"/>
      <c r="DSY23"/>
      <c r="DSZ23"/>
      <c r="DTA23"/>
      <c r="DTB23"/>
      <c r="DTC23"/>
      <c r="DTD23"/>
      <c r="DTE23"/>
      <c r="DTF23"/>
      <c r="DTG23"/>
      <c r="DTH23"/>
      <c r="DTI23"/>
      <c r="DTJ23"/>
      <c r="DTK23"/>
      <c r="DTL23"/>
      <c r="DTM23"/>
      <c r="DTN23"/>
      <c r="DTO23"/>
      <c r="DTP23"/>
      <c r="DTQ23"/>
      <c r="DTR23"/>
      <c r="DTS23"/>
      <c r="DTT23"/>
      <c r="DTU23"/>
      <c r="DTV23"/>
      <c r="DTW23"/>
      <c r="DTX23"/>
      <c r="DTY23"/>
      <c r="DTZ23"/>
      <c r="DUA23"/>
      <c r="DUB23"/>
      <c r="DUC23"/>
      <c r="DUD23"/>
      <c r="DUE23"/>
      <c r="DUF23"/>
      <c r="DUG23"/>
      <c r="DUH23"/>
      <c r="DUI23"/>
      <c r="DUJ23"/>
      <c r="DUK23"/>
      <c r="DUL23"/>
      <c r="DUM23"/>
      <c r="DUN23"/>
      <c r="DUO23"/>
      <c r="DUP23"/>
      <c r="DUQ23"/>
      <c r="DUR23"/>
      <c r="DUS23"/>
      <c r="DUT23"/>
      <c r="DUU23"/>
      <c r="DUV23"/>
      <c r="DUW23"/>
      <c r="DUX23"/>
      <c r="DUY23"/>
      <c r="DUZ23"/>
      <c r="DVA23"/>
      <c r="DVB23"/>
      <c r="DVC23"/>
      <c r="DVD23"/>
      <c r="DVE23"/>
      <c r="DVF23"/>
      <c r="DVG23"/>
      <c r="DVH23"/>
      <c r="DVI23"/>
      <c r="DVJ23"/>
      <c r="DVK23"/>
      <c r="DVL23"/>
      <c r="DVM23"/>
      <c r="DVN23"/>
      <c r="DVO23"/>
      <c r="DVP23"/>
      <c r="DVQ23"/>
      <c r="DVR23"/>
      <c r="DVS23"/>
      <c r="DVT23"/>
      <c r="DVU23"/>
      <c r="DVV23"/>
      <c r="DVW23"/>
      <c r="DVX23"/>
      <c r="DVY23"/>
      <c r="DVZ23"/>
      <c r="DWA23"/>
      <c r="DWB23"/>
      <c r="DWC23"/>
      <c r="DWD23"/>
      <c r="DWE23"/>
      <c r="DWF23"/>
      <c r="DWG23"/>
      <c r="DWH23"/>
      <c r="DWI23"/>
      <c r="DWJ23"/>
      <c r="DWK23"/>
      <c r="DWL23"/>
      <c r="DWM23"/>
      <c r="DWN23"/>
      <c r="DWO23"/>
      <c r="DWP23"/>
      <c r="DWQ23"/>
      <c r="DWR23"/>
      <c r="DWS23"/>
      <c r="DWT23"/>
      <c r="DWU23"/>
      <c r="DWV23"/>
      <c r="DWW23"/>
      <c r="DWX23"/>
      <c r="DWY23"/>
      <c r="DWZ23"/>
      <c r="DXA23"/>
      <c r="DXB23"/>
      <c r="DXC23"/>
      <c r="DXD23"/>
      <c r="DXE23"/>
      <c r="DXF23"/>
      <c r="DXG23"/>
      <c r="DXH23"/>
      <c r="DXI23"/>
      <c r="DXJ23"/>
      <c r="DXK23"/>
      <c r="DXL23"/>
      <c r="DXM23"/>
      <c r="DXN23"/>
      <c r="DXO23"/>
      <c r="DXP23"/>
      <c r="DXQ23"/>
      <c r="DXR23"/>
      <c r="DXS23"/>
      <c r="DXT23"/>
      <c r="DXU23"/>
      <c r="DXV23"/>
      <c r="DXW23"/>
      <c r="DXX23"/>
      <c r="DXY23"/>
      <c r="DXZ23"/>
      <c r="DYA23"/>
      <c r="DYB23"/>
      <c r="DYC23"/>
      <c r="DYD23"/>
      <c r="DYE23"/>
      <c r="DYF23"/>
      <c r="DYG23"/>
      <c r="DYH23"/>
      <c r="DYI23"/>
      <c r="DYJ23"/>
      <c r="DYK23"/>
      <c r="DYL23"/>
      <c r="DYM23"/>
      <c r="DYN23"/>
      <c r="DYO23"/>
      <c r="DYP23"/>
      <c r="DYQ23"/>
      <c r="DYR23"/>
      <c r="DYS23"/>
      <c r="DYT23"/>
      <c r="DYU23"/>
      <c r="DYV23"/>
      <c r="DYW23"/>
      <c r="DYX23"/>
      <c r="DYY23"/>
      <c r="DYZ23"/>
      <c r="DZA23"/>
      <c r="DZB23"/>
      <c r="DZC23"/>
      <c r="DZD23"/>
      <c r="DZE23"/>
      <c r="DZF23"/>
      <c r="DZG23"/>
      <c r="DZH23"/>
      <c r="DZI23"/>
      <c r="DZJ23"/>
      <c r="DZK23"/>
      <c r="DZL23"/>
      <c r="DZM23"/>
      <c r="DZN23"/>
      <c r="DZO23"/>
      <c r="DZP23"/>
      <c r="DZQ23"/>
      <c r="DZR23"/>
      <c r="DZS23"/>
      <c r="DZT23"/>
      <c r="DZU23"/>
      <c r="DZV23"/>
      <c r="DZW23"/>
      <c r="DZX23"/>
      <c r="DZY23"/>
      <c r="DZZ23"/>
      <c r="EAA23"/>
      <c r="EAB23"/>
      <c r="EAC23"/>
      <c r="EAD23"/>
      <c r="EAE23"/>
      <c r="EAF23"/>
      <c r="EAG23"/>
      <c r="EAH23"/>
      <c r="EAI23"/>
      <c r="EAJ23"/>
      <c r="EAK23"/>
      <c r="EAL23"/>
      <c r="EAM23"/>
      <c r="EAN23"/>
      <c r="EAO23"/>
      <c r="EAP23"/>
      <c r="EAQ23"/>
      <c r="EAR23"/>
      <c r="EAS23"/>
      <c r="EAT23"/>
      <c r="EAU23"/>
      <c r="EAV23"/>
      <c r="EAW23"/>
      <c r="EAX23"/>
      <c r="EAY23"/>
      <c r="EAZ23"/>
      <c r="EBA23"/>
      <c r="EBB23"/>
      <c r="EBC23"/>
      <c r="EBD23"/>
      <c r="EBE23"/>
      <c r="EBF23"/>
      <c r="EBG23"/>
      <c r="EBH23"/>
      <c r="EBI23"/>
      <c r="EBJ23"/>
      <c r="EBK23"/>
      <c r="EBL23"/>
      <c r="EBM23"/>
      <c r="EBN23"/>
      <c r="EBO23"/>
      <c r="EBP23"/>
      <c r="EBQ23"/>
      <c r="EBR23"/>
      <c r="EBS23"/>
      <c r="EBT23"/>
      <c r="EBU23"/>
      <c r="EBV23"/>
      <c r="EBW23"/>
      <c r="EBX23"/>
      <c r="EBY23"/>
      <c r="EBZ23"/>
      <c r="ECA23"/>
      <c r="ECB23"/>
      <c r="ECC23"/>
      <c r="ECD23"/>
      <c r="ECE23"/>
      <c r="ECF23"/>
      <c r="ECG23"/>
      <c r="ECH23"/>
      <c r="ECI23"/>
      <c r="ECJ23"/>
      <c r="ECK23"/>
      <c r="ECL23"/>
      <c r="ECM23"/>
      <c r="ECN23"/>
      <c r="ECO23"/>
      <c r="ECP23"/>
      <c r="ECQ23"/>
      <c r="ECR23"/>
      <c r="ECS23"/>
      <c r="ECT23"/>
      <c r="ECU23"/>
      <c r="ECV23"/>
      <c r="ECW23"/>
      <c r="ECX23"/>
      <c r="ECY23"/>
      <c r="ECZ23"/>
      <c r="EDA23"/>
      <c r="EDB23"/>
      <c r="EDC23"/>
      <c r="EDD23"/>
      <c r="EDE23"/>
      <c r="EDF23"/>
      <c r="EDG23"/>
      <c r="EDH23"/>
      <c r="EDI23"/>
      <c r="EDJ23"/>
      <c r="EDK23"/>
      <c r="EDL23"/>
      <c r="EDM23"/>
      <c r="EDN23"/>
      <c r="EDO23"/>
      <c r="EDP23"/>
      <c r="EDQ23"/>
      <c r="EDR23"/>
      <c r="EDS23"/>
      <c r="EDT23"/>
      <c r="EDU23"/>
      <c r="EDV23"/>
      <c r="EDW23"/>
      <c r="EDX23"/>
      <c r="EDY23"/>
      <c r="EDZ23"/>
      <c r="EEA23"/>
      <c r="EEB23"/>
      <c r="EEC23"/>
      <c r="EED23"/>
      <c r="EEE23"/>
      <c r="EEF23"/>
      <c r="EEG23"/>
      <c r="EEH23"/>
      <c r="EEI23"/>
      <c r="EEJ23"/>
      <c r="EEK23"/>
      <c r="EEL23"/>
      <c r="EEM23"/>
      <c r="EEN23"/>
      <c r="EEO23"/>
      <c r="EEP23"/>
      <c r="EEQ23"/>
      <c r="EER23"/>
      <c r="EES23"/>
      <c r="EET23"/>
      <c r="EEU23"/>
      <c r="EEV23"/>
      <c r="EEW23"/>
      <c r="EEX23"/>
      <c r="EEY23"/>
      <c r="EEZ23"/>
      <c r="EFA23"/>
      <c r="EFB23"/>
      <c r="EFC23"/>
      <c r="EFD23"/>
      <c r="EFE23"/>
      <c r="EFF23"/>
      <c r="EFG23"/>
      <c r="EFH23"/>
      <c r="EFI23"/>
      <c r="EFJ23"/>
      <c r="EFK23"/>
      <c r="EFL23"/>
      <c r="EFM23"/>
      <c r="EFN23"/>
      <c r="EFO23"/>
      <c r="EFP23"/>
      <c r="EFQ23"/>
      <c r="EFR23"/>
      <c r="EFS23"/>
      <c r="EFT23"/>
      <c r="EFU23"/>
      <c r="EFV23"/>
      <c r="EFW23"/>
      <c r="EFX23"/>
      <c r="EFY23"/>
      <c r="EFZ23"/>
      <c r="EGA23"/>
      <c r="EGB23"/>
      <c r="EGC23"/>
      <c r="EGD23"/>
      <c r="EGE23"/>
      <c r="EGF23"/>
      <c r="EGG23"/>
      <c r="EGH23"/>
      <c r="EGI23"/>
      <c r="EGJ23"/>
      <c r="EGK23"/>
      <c r="EGL23"/>
      <c r="EGM23"/>
      <c r="EGN23"/>
      <c r="EGO23"/>
      <c r="EGP23"/>
      <c r="EGQ23"/>
      <c r="EGR23"/>
      <c r="EGS23"/>
      <c r="EGT23"/>
      <c r="EGU23"/>
      <c r="EGV23"/>
      <c r="EGW23"/>
      <c r="EGX23"/>
      <c r="EGY23"/>
      <c r="EGZ23"/>
      <c r="EHA23"/>
      <c r="EHB23"/>
      <c r="EHC23"/>
      <c r="EHD23"/>
      <c r="EHE23"/>
      <c r="EHF23"/>
      <c r="EHG23"/>
      <c r="EHH23"/>
      <c r="EHI23"/>
      <c r="EHJ23"/>
      <c r="EHK23"/>
      <c r="EHL23"/>
      <c r="EHM23"/>
      <c r="EHN23"/>
      <c r="EHO23"/>
      <c r="EHP23"/>
      <c r="EHQ23"/>
      <c r="EHR23"/>
      <c r="EHS23"/>
      <c r="EHT23"/>
      <c r="EHU23"/>
      <c r="EHV23"/>
      <c r="EHW23"/>
      <c r="EHX23"/>
      <c r="EHY23"/>
      <c r="EHZ23"/>
      <c r="EIA23"/>
      <c r="EIB23"/>
      <c r="EIC23"/>
      <c r="EID23"/>
      <c r="EIE23"/>
      <c r="EIF23"/>
      <c r="EIG23"/>
      <c r="EIH23"/>
      <c r="EII23"/>
      <c r="EIJ23"/>
      <c r="EIK23"/>
      <c r="EIL23"/>
      <c r="EIM23"/>
      <c r="EIN23"/>
      <c r="EIO23"/>
      <c r="EIP23"/>
      <c r="EIQ23"/>
      <c r="EIR23"/>
      <c r="EIS23"/>
      <c r="EIT23"/>
      <c r="EIU23"/>
      <c r="EIV23"/>
      <c r="EIW23"/>
      <c r="EIX23"/>
      <c r="EIY23"/>
      <c r="EIZ23"/>
      <c r="EJA23"/>
      <c r="EJB23"/>
      <c r="EJC23"/>
      <c r="EJD23"/>
      <c r="EJE23"/>
      <c r="EJF23"/>
      <c r="EJG23"/>
      <c r="EJH23"/>
      <c r="EJI23"/>
      <c r="EJJ23"/>
      <c r="EJK23"/>
      <c r="EJL23"/>
      <c r="EJM23"/>
      <c r="EJN23"/>
      <c r="EJO23"/>
      <c r="EJP23"/>
      <c r="EJQ23"/>
      <c r="EJR23"/>
      <c r="EJS23"/>
      <c r="EJT23"/>
      <c r="EJU23"/>
      <c r="EJV23"/>
      <c r="EJW23"/>
      <c r="EJX23"/>
      <c r="EJY23"/>
      <c r="EJZ23"/>
      <c r="EKA23"/>
      <c r="EKB23"/>
      <c r="EKC23"/>
      <c r="EKD23"/>
      <c r="EKE23"/>
      <c r="EKF23"/>
      <c r="EKG23"/>
      <c r="EKH23"/>
      <c r="EKI23"/>
      <c r="EKJ23"/>
      <c r="EKK23"/>
      <c r="EKL23"/>
      <c r="EKM23"/>
      <c r="EKN23"/>
      <c r="EKO23"/>
      <c r="EKP23"/>
      <c r="EKQ23"/>
      <c r="EKR23"/>
      <c r="EKS23"/>
      <c r="EKT23"/>
      <c r="EKU23"/>
      <c r="EKV23"/>
      <c r="EKW23"/>
      <c r="EKX23"/>
      <c r="EKY23"/>
      <c r="EKZ23"/>
      <c r="ELA23"/>
      <c r="ELB23"/>
      <c r="ELC23"/>
      <c r="ELD23"/>
      <c r="ELE23"/>
      <c r="ELF23"/>
      <c r="ELG23"/>
      <c r="ELH23"/>
      <c r="ELI23"/>
      <c r="ELJ23"/>
      <c r="ELK23"/>
      <c r="ELL23"/>
      <c r="ELM23"/>
      <c r="ELN23"/>
      <c r="ELO23"/>
      <c r="ELP23"/>
      <c r="ELQ23"/>
      <c r="ELR23"/>
      <c r="ELS23"/>
      <c r="ELT23"/>
      <c r="ELU23"/>
      <c r="ELV23"/>
      <c r="ELW23"/>
      <c r="ELX23"/>
      <c r="ELY23"/>
      <c r="ELZ23"/>
      <c r="EMA23"/>
      <c r="EMB23"/>
      <c r="EMC23"/>
      <c r="EMD23"/>
      <c r="EME23"/>
      <c r="EMF23"/>
      <c r="EMG23"/>
      <c r="EMH23"/>
      <c r="EMI23"/>
      <c r="EMJ23"/>
      <c r="EMK23"/>
      <c r="EML23"/>
      <c r="EMM23"/>
      <c r="EMN23"/>
      <c r="EMO23"/>
      <c r="EMP23"/>
      <c r="EMQ23"/>
      <c r="EMR23"/>
      <c r="EMS23"/>
      <c r="EMT23"/>
      <c r="EMU23"/>
      <c r="EMV23"/>
      <c r="EMW23"/>
      <c r="EMX23"/>
      <c r="EMY23"/>
      <c r="EMZ23"/>
      <c r="ENA23"/>
      <c r="ENB23"/>
      <c r="ENC23"/>
      <c r="END23"/>
      <c r="ENE23"/>
      <c r="ENF23"/>
      <c r="ENG23"/>
      <c r="ENH23"/>
      <c r="ENI23"/>
      <c r="ENJ23"/>
      <c r="ENK23"/>
      <c r="ENL23"/>
      <c r="ENM23"/>
      <c r="ENN23"/>
      <c r="ENO23"/>
      <c r="ENP23"/>
      <c r="ENQ23"/>
      <c r="ENR23"/>
      <c r="ENS23"/>
      <c r="ENT23"/>
      <c r="ENU23"/>
      <c r="ENV23"/>
      <c r="ENW23"/>
      <c r="ENX23"/>
      <c r="ENY23"/>
      <c r="ENZ23"/>
      <c r="EOA23"/>
      <c r="EOB23"/>
      <c r="EOC23"/>
      <c r="EOD23"/>
      <c r="EOE23"/>
      <c r="EOF23"/>
      <c r="EOG23"/>
      <c r="EOH23"/>
      <c r="EOI23"/>
      <c r="EOJ23"/>
      <c r="EOK23"/>
      <c r="EOL23"/>
      <c r="EOM23"/>
      <c r="EON23"/>
      <c r="EOO23"/>
      <c r="EOP23"/>
      <c r="EOQ23"/>
      <c r="EOR23"/>
      <c r="EOS23"/>
      <c r="EOT23"/>
      <c r="EOU23"/>
      <c r="EOV23"/>
      <c r="EOW23"/>
      <c r="EOX23"/>
      <c r="EOY23"/>
      <c r="EOZ23"/>
      <c r="EPA23"/>
      <c r="EPB23"/>
      <c r="EPC23"/>
      <c r="EPD23"/>
      <c r="EPE23"/>
      <c r="EPF23"/>
      <c r="EPG23"/>
      <c r="EPH23"/>
      <c r="EPI23"/>
      <c r="EPJ23"/>
      <c r="EPK23"/>
      <c r="EPL23"/>
      <c r="EPM23"/>
      <c r="EPN23"/>
      <c r="EPO23"/>
      <c r="EPP23"/>
      <c r="EPQ23"/>
      <c r="EPR23"/>
      <c r="EPS23"/>
      <c r="EPT23"/>
      <c r="EPU23"/>
      <c r="EPV23"/>
      <c r="EPW23"/>
      <c r="EPX23"/>
      <c r="EPY23"/>
      <c r="EPZ23"/>
      <c r="EQA23"/>
      <c r="EQB23"/>
      <c r="EQC23"/>
      <c r="EQD23"/>
      <c r="EQE23"/>
      <c r="EQF23"/>
      <c r="EQG23"/>
      <c r="EQH23"/>
      <c r="EQI23"/>
      <c r="EQJ23"/>
      <c r="EQK23"/>
      <c r="EQL23"/>
      <c r="EQM23"/>
      <c r="EQN23"/>
      <c r="EQO23"/>
      <c r="EQP23"/>
      <c r="EQQ23"/>
      <c r="EQR23"/>
      <c r="EQS23"/>
      <c r="EQT23"/>
      <c r="EQU23"/>
      <c r="EQV23"/>
      <c r="EQW23"/>
      <c r="EQX23"/>
      <c r="EQY23"/>
      <c r="EQZ23"/>
      <c r="ERA23"/>
      <c r="ERB23"/>
      <c r="ERC23"/>
      <c r="ERD23"/>
      <c r="ERE23"/>
      <c r="ERF23"/>
      <c r="ERG23"/>
      <c r="ERH23"/>
      <c r="ERI23"/>
      <c r="ERJ23"/>
      <c r="ERK23"/>
      <c r="ERL23"/>
      <c r="ERM23"/>
      <c r="ERN23"/>
      <c r="ERO23"/>
      <c r="ERP23"/>
      <c r="ERQ23"/>
      <c r="ERR23"/>
      <c r="ERS23"/>
      <c r="ERT23"/>
      <c r="ERU23"/>
      <c r="ERV23"/>
      <c r="ERW23"/>
      <c r="ERX23"/>
      <c r="ERY23"/>
      <c r="ERZ23"/>
      <c r="ESA23"/>
      <c r="ESB23"/>
      <c r="ESC23"/>
      <c r="ESD23"/>
      <c r="ESE23"/>
      <c r="ESF23"/>
      <c r="ESG23"/>
      <c r="ESH23"/>
      <c r="ESI23"/>
      <c r="ESJ23"/>
      <c r="ESK23"/>
      <c r="ESL23"/>
      <c r="ESM23"/>
      <c r="ESN23"/>
      <c r="ESO23"/>
      <c r="ESP23"/>
      <c r="ESQ23"/>
      <c r="ESR23"/>
      <c r="ESS23"/>
      <c r="EST23"/>
      <c r="ESU23"/>
      <c r="ESV23"/>
      <c r="ESW23"/>
      <c r="ESX23"/>
      <c r="ESY23"/>
      <c r="ESZ23"/>
      <c r="ETA23"/>
      <c r="ETB23"/>
      <c r="ETC23"/>
      <c r="ETD23"/>
      <c r="ETE23"/>
      <c r="ETF23"/>
      <c r="ETG23"/>
      <c r="ETH23"/>
      <c r="ETI23"/>
      <c r="ETJ23"/>
      <c r="ETK23"/>
      <c r="ETL23"/>
      <c r="ETM23"/>
      <c r="ETN23"/>
      <c r="ETO23"/>
      <c r="ETP23"/>
      <c r="ETQ23"/>
      <c r="ETR23"/>
      <c r="ETS23"/>
      <c r="ETT23"/>
      <c r="ETU23"/>
      <c r="ETV23"/>
      <c r="ETW23"/>
      <c r="ETX23"/>
      <c r="ETY23"/>
      <c r="ETZ23"/>
      <c r="EUA23"/>
      <c r="EUB23"/>
      <c r="EUC23"/>
      <c r="EUD23"/>
      <c r="EUE23"/>
      <c r="EUF23"/>
      <c r="EUG23"/>
      <c r="EUH23"/>
      <c r="EUI23"/>
      <c r="EUJ23"/>
      <c r="EUK23"/>
      <c r="EUL23"/>
      <c r="EUM23"/>
      <c r="EUN23"/>
      <c r="EUO23"/>
      <c r="EUP23"/>
      <c r="EUQ23"/>
      <c r="EUR23"/>
      <c r="EUS23"/>
      <c r="EUT23"/>
      <c r="EUU23"/>
      <c r="EUV23"/>
      <c r="EUW23"/>
      <c r="EUX23"/>
      <c r="EUY23"/>
      <c r="EUZ23"/>
      <c r="EVA23"/>
      <c r="EVB23"/>
      <c r="EVC23"/>
      <c r="EVD23"/>
      <c r="EVE23"/>
      <c r="EVF23"/>
      <c r="EVG23"/>
      <c r="EVH23"/>
      <c r="EVI23"/>
      <c r="EVJ23"/>
      <c r="EVK23"/>
      <c r="EVL23"/>
      <c r="EVM23"/>
      <c r="EVN23"/>
      <c r="EVO23"/>
      <c r="EVP23"/>
      <c r="EVQ23"/>
      <c r="EVR23"/>
      <c r="EVS23"/>
      <c r="EVT23"/>
      <c r="EVU23"/>
      <c r="EVV23"/>
      <c r="EVW23"/>
      <c r="EVX23"/>
      <c r="EVY23"/>
      <c r="EVZ23"/>
      <c r="EWA23"/>
      <c r="EWB23"/>
      <c r="EWC23"/>
      <c r="EWD23"/>
      <c r="EWE23"/>
      <c r="EWF23"/>
      <c r="EWG23"/>
      <c r="EWH23"/>
      <c r="EWI23"/>
      <c r="EWJ23"/>
      <c r="EWK23"/>
      <c r="EWL23"/>
      <c r="EWM23"/>
      <c r="EWN23"/>
      <c r="EWO23"/>
      <c r="EWP23"/>
      <c r="EWQ23"/>
      <c r="EWR23"/>
      <c r="EWS23"/>
      <c r="EWT23"/>
      <c r="EWU23"/>
      <c r="EWV23"/>
      <c r="EWW23"/>
      <c r="EWX23"/>
      <c r="EWY23"/>
      <c r="EWZ23"/>
      <c r="EXA23"/>
      <c r="EXB23"/>
      <c r="EXC23"/>
      <c r="EXD23"/>
      <c r="EXE23"/>
      <c r="EXF23"/>
      <c r="EXG23"/>
      <c r="EXH23"/>
      <c r="EXI23"/>
      <c r="EXJ23"/>
      <c r="EXK23"/>
      <c r="EXL23"/>
      <c r="EXM23"/>
      <c r="EXN23"/>
      <c r="EXO23"/>
      <c r="EXP23"/>
      <c r="EXQ23"/>
      <c r="EXR23"/>
      <c r="EXS23"/>
      <c r="EXT23"/>
      <c r="EXU23"/>
      <c r="EXV23"/>
      <c r="EXW23"/>
      <c r="EXX23"/>
      <c r="EXY23"/>
      <c r="EXZ23"/>
      <c r="EYA23"/>
      <c r="EYB23"/>
      <c r="EYC23"/>
      <c r="EYD23"/>
      <c r="EYE23"/>
      <c r="EYF23"/>
      <c r="EYG23"/>
      <c r="EYH23"/>
      <c r="EYI23"/>
      <c r="EYJ23"/>
      <c r="EYK23"/>
      <c r="EYL23"/>
      <c r="EYM23"/>
      <c r="EYN23"/>
      <c r="EYO23"/>
      <c r="EYP23"/>
      <c r="EYQ23"/>
      <c r="EYR23"/>
      <c r="EYS23"/>
      <c r="EYT23"/>
      <c r="EYU23"/>
      <c r="EYV23"/>
      <c r="EYW23"/>
      <c r="EYX23"/>
      <c r="EYY23"/>
      <c r="EYZ23"/>
      <c r="EZA23"/>
      <c r="EZB23"/>
      <c r="EZC23"/>
      <c r="EZD23"/>
      <c r="EZE23"/>
      <c r="EZF23"/>
      <c r="EZG23"/>
      <c r="EZH23"/>
      <c r="EZI23"/>
      <c r="EZJ23"/>
      <c r="EZK23"/>
      <c r="EZL23"/>
      <c r="EZM23"/>
      <c r="EZN23"/>
      <c r="EZO23"/>
      <c r="EZP23"/>
      <c r="EZQ23"/>
      <c r="EZR23"/>
      <c r="EZS23"/>
      <c r="EZT23"/>
      <c r="EZU23"/>
      <c r="EZV23"/>
      <c r="EZW23"/>
      <c r="EZX23"/>
      <c r="EZY23"/>
      <c r="EZZ23"/>
      <c r="FAA23"/>
      <c r="FAB23"/>
      <c r="FAC23"/>
      <c r="FAD23"/>
      <c r="FAE23"/>
      <c r="FAF23"/>
      <c r="FAG23"/>
      <c r="FAH23"/>
      <c r="FAI23"/>
      <c r="FAJ23"/>
      <c r="FAK23"/>
      <c r="FAL23"/>
      <c r="FAM23"/>
      <c r="FAN23"/>
      <c r="FAO23"/>
      <c r="FAP23"/>
      <c r="FAQ23"/>
      <c r="FAR23"/>
      <c r="FAS23"/>
      <c r="FAT23"/>
      <c r="FAU23"/>
      <c r="FAV23"/>
      <c r="FAW23"/>
      <c r="FAX23"/>
      <c r="FAY23"/>
      <c r="FAZ23"/>
      <c r="FBA23"/>
      <c r="FBB23"/>
      <c r="FBC23"/>
      <c r="FBD23"/>
      <c r="FBE23"/>
      <c r="FBF23"/>
      <c r="FBG23"/>
      <c r="FBH23"/>
      <c r="FBI23"/>
      <c r="FBJ23"/>
      <c r="FBK23"/>
      <c r="FBL23"/>
      <c r="FBM23"/>
      <c r="FBN23"/>
      <c r="FBO23"/>
      <c r="FBP23"/>
      <c r="FBQ23"/>
      <c r="FBR23"/>
      <c r="FBS23"/>
      <c r="FBT23"/>
      <c r="FBU23"/>
      <c r="FBV23"/>
      <c r="FBW23"/>
      <c r="FBX23"/>
      <c r="FBY23"/>
      <c r="FBZ23"/>
      <c r="FCA23"/>
      <c r="FCB23"/>
      <c r="FCC23"/>
      <c r="FCD23"/>
      <c r="FCE23"/>
      <c r="FCF23"/>
      <c r="FCG23"/>
      <c r="FCH23"/>
      <c r="FCI23"/>
      <c r="FCJ23"/>
      <c r="FCK23"/>
      <c r="FCL23"/>
      <c r="FCM23"/>
      <c r="FCN23"/>
      <c r="FCO23"/>
      <c r="FCP23"/>
      <c r="FCQ23"/>
      <c r="FCR23"/>
      <c r="FCS23"/>
      <c r="FCT23"/>
      <c r="FCU23"/>
      <c r="FCV23"/>
      <c r="FCW23"/>
      <c r="FCX23"/>
      <c r="FCY23"/>
      <c r="FCZ23"/>
      <c r="FDA23"/>
      <c r="FDB23"/>
      <c r="FDC23"/>
      <c r="FDD23"/>
      <c r="FDE23"/>
      <c r="FDF23"/>
      <c r="FDG23"/>
      <c r="FDH23"/>
      <c r="FDI23"/>
      <c r="FDJ23"/>
      <c r="FDK23"/>
      <c r="FDL23"/>
      <c r="FDM23"/>
      <c r="FDN23"/>
      <c r="FDO23"/>
      <c r="FDP23"/>
      <c r="FDQ23"/>
      <c r="FDR23"/>
      <c r="FDS23"/>
      <c r="FDT23"/>
      <c r="FDU23"/>
      <c r="FDV23"/>
      <c r="FDW23"/>
      <c r="FDX23"/>
      <c r="FDY23"/>
      <c r="FDZ23"/>
      <c r="FEA23"/>
      <c r="FEB23"/>
      <c r="FEC23"/>
      <c r="FED23"/>
      <c r="FEE23"/>
      <c r="FEF23"/>
      <c r="FEG23"/>
      <c r="FEH23"/>
      <c r="FEI23"/>
      <c r="FEJ23"/>
      <c r="FEK23"/>
      <c r="FEL23"/>
      <c r="FEM23"/>
      <c r="FEN23"/>
      <c r="FEO23"/>
      <c r="FEP23"/>
      <c r="FEQ23"/>
      <c r="FER23"/>
      <c r="FES23"/>
      <c r="FET23"/>
      <c r="FEU23"/>
      <c r="FEV23"/>
      <c r="FEW23"/>
      <c r="FEX23"/>
      <c r="FEY23"/>
      <c r="FEZ23"/>
      <c r="FFA23"/>
      <c r="FFB23"/>
      <c r="FFC23"/>
      <c r="FFD23"/>
      <c r="FFE23"/>
      <c r="FFF23"/>
      <c r="FFG23"/>
      <c r="FFH23"/>
      <c r="FFI23"/>
      <c r="FFJ23"/>
      <c r="FFK23"/>
      <c r="FFL23"/>
      <c r="FFM23"/>
      <c r="FFN23"/>
      <c r="FFO23"/>
      <c r="FFP23"/>
      <c r="FFQ23"/>
      <c r="FFR23"/>
      <c r="FFS23"/>
      <c r="FFT23"/>
      <c r="FFU23"/>
      <c r="FFV23"/>
      <c r="FFW23"/>
      <c r="FFX23"/>
      <c r="FFY23"/>
      <c r="FFZ23"/>
      <c r="FGA23"/>
      <c r="FGB23"/>
      <c r="FGC23"/>
      <c r="FGD23"/>
      <c r="FGE23"/>
      <c r="FGF23"/>
      <c r="FGG23"/>
      <c r="FGH23"/>
      <c r="FGI23"/>
      <c r="FGJ23"/>
      <c r="FGK23"/>
      <c r="FGL23"/>
      <c r="FGM23"/>
      <c r="FGN23"/>
      <c r="FGO23"/>
      <c r="FGP23"/>
      <c r="FGQ23"/>
      <c r="FGR23"/>
      <c r="FGS23"/>
      <c r="FGT23"/>
      <c r="FGU23"/>
      <c r="FGV23"/>
      <c r="FGW23"/>
      <c r="FGX23"/>
      <c r="FGY23"/>
      <c r="FGZ23"/>
      <c r="FHA23"/>
      <c r="FHB23"/>
      <c r="FHC23"/>
      <c r="FHD23"/>
      <c r="FHE23"/>
      <c r="FHF23"/>
      <c r="FHG23"/>
      <c r="FHH23"/>
      <c r="FHI23"/>
      <c r="FHJ23"/>
      <c r="FHK23"/>
      <c r="FHL23"/>
      <c r="FHM23"/>
      <c r="FHN23"/>
      <c r="FHO23"/>
      <c r="FHP23"/>
      <c r="FHQ23"/>
      <c r="FHR23"/>
      <c r="FHS23"/>
      <c r="FHT23"/>
      <c r="FHU23"/>
      <c r="FHV23"/>
      <c r="FHW23"/>
      <c r="FHX23"/>
      <c r="FHY23"/>
      <c r="FHZ23"/>
      <c r="FIA23"/>
      <c r="FIB23"/>
      <c r="FIC23"/>
      <c r="FID23"/>
      <c r="FIE23"/>
      <c r="FIF23"/>
      <c r="FIG23"/>
      <c r="FIH23"/>
      <c r="FII23"/>
      <c r="FIJ23"/>
      <c r="FIK23"/>
      <c r="FIL23"/>
      <c r="FIM23"/>
      <c r="FIN23"/>
      <c r="FIO23"/>
      <c r="FIP23"/>
      <c r="FIQ23"/>
      <c r="FIR23"/>
      <c r="FIS23"/>
      <c r="FIT23"/>
      <c r="FIU23"/>
      <c r="FIV23"/>
      <c r="FIW23"/>
      <c r="FIX23"/>
      <c r="FIY23"/>
      <c r="FIZ23"/>
      <c r="FJA23"/>
      <c r="FJB23"/>
      <c r="FJC23"/>
      <c r="FJD23"/>
      <c r="FJE23"/>
      <c r="FJF23"/>
      <c r="FJG23"/>
      <c r="FJH23"/>
      <c r="FJI23"/>
      <c r="FJJ23"/>
      <c r="FJK23"/>
      <c r="FJL23"/>
      <c r="FJM23"/>
      <c r="FJN23"/>
      <c r="FJO23"/>
      <c r="FJP23"/>
      <c r="FJQ23"/>
      <c r="FJR23"/>
      <c r="FJS23"/>
      <c r="FJT23"/>
      <c r="FJU23"/>
      <c r="FJV23"/>
      <c r="FJW23"/>
      <c r="FJX23"/>
      <c r="FJY23"/>
      <c r="FJZ23"/>
      <c r="FKA23"/>
      <c r="FKB23"/>
      <c r="FKC23"/>
      <c r="FKD23"/>
      <c r="FKE23"/>
      <c r="FKF23"/>
      <c r="FKG23"/>
      <c r="FKH23"/>
      <c r="FKI23"/>
      <c r="FKJ23"/>
      <c r="FKK23"/>
      <c r="FKL23"/>
      <c r="FKM23"/>
      <c r="FKN23"/>
      <c r="FKO23"/>
      <c r="FKP23"/>
      <c r="FKQ23"/>
      <c r="FKR23"/>
      <c r="FKS23"/>
      <c r="FKT23"/>
      <c r="FKU23"/>
      <c r="FKV23"/>
      <c r="FKW23"/>
      <c r="FKX23"/>
      <c r="FKY23"/>
      <c r="FKZ23"/>
      <c r="FLA23"/>
      <c r="FLB23"/>
      <c r="FLC23"/>
      <c r="FLD23"/>
      <c r="FLE23"/>
      <c r="FLF23"/>
      <c r="FLG23"/>
      <c r="FLH23"/>
      <c r="FLI23"/>
      <c r="FLJ23"/>
      <c r="FLK23"/>
      <c r="FLL23"/>
      <c r="FLM23"/>
      <c r="FLN23"/>
      <c r="FLO23"/>
      <c r="FLP23"/>
      <c r="FLQ23"/>
      <c r="FLR23"/>
      <c r="FLS23"/>
      <c r="FLT23"/>
      <c r="FLU23"/>
      <c r="FLV23"/>
      <c r="FLW23"/>
      <c r="FLX23"/>
      <c r="FLY23"/>
      <c r="FLZ23"/>
      <c r="FMA23"/>
      <c r="FMB23"/>
      <c r="FMC23"/>
      <c r="FMD23"/>
      <c r="FME23"/>
      <c r="FMF23"/>
      <c r="FMG23"/>
      <c r="FMH23"/>
      <c r="FMI23"/>
      <c r="FMJ23"/>
      <c r="FMK23"/>
      <c r="FML23"/>
      <c r="FMM23"/>
      <c r="FMN23"/>
      <c r="FMO23"/>
      <c r="FMP23"/>
      <c r="FMQ23"/>
      <c r="FMR23"/>
      <c r="FMS23"/>
      <c r="FMT23"/>
      <c r="FMU23"/>
      <c r="FMV23"/>
      <c r="FMW23"/>
      <c r="FMX23"/>
      <c r="FMY23"/>
      <c r="FMZ23"/>
      <c r="FNA23"/>
      <c r="FNB23"/>
      <c r="FNC23"/>
      <c r="FND23"/>
      <c r="FNE23"/>
      <c r="FNF23"/>
      <c r="FNG23"/>
      <c r="FNH23"/>
      <c r="FNI23"/>
      <c r="FNJ23"/>
      <c r="FNK23"/>
      <c r="FNL23"/>
      <c r="FNM23"/>
      <c r="FNN23"/>
      <c r="FNO23"/>
      <c r="FNP23"/>
      <c r="FNQ23"/>
      <c r="FNR23"/>
      <c r="FNS23"/>
      <c r="FNT23"/>
      <c r="FNU23"/>
      <c r="FNV23"/>
      <c r="FNW23"/>
      <c r="FNX23"/>
      <c r="FNY23"/>
      <c r="FNZ23"/>
      <c r="FOA23"/>
      <c r="FOB23"/>
      <c r="FOC23"/>
      <c r="FOD23"/>
      <c r="FOE23"/>
      <c r="FOF23"/>
      <c r="FOG23"/>
      <c r="FOH23"/>
      <c r="FOI23"/>
      <c r="FOJ23"/>
      <c r="FOK23"/>
      <c r="FOL23"/>
      <c r="FOM23"/>
      <c r="FON23"/>
      <c r="FOO23"/>
      <c r="FOP23"/>
      <c r="FOQ23"/>
      <c r="FOR23"/>
      <c r="FOS23"/>
      <c r="FOT23"/>
      <c r="FOU23"/>
      <c r="FOV23"/>
      <c r="FOW23"/>
      <c r="FOX23"/>
      <c r="FOY23"/>
      <c r="FOZ23"/>
      <c r="FPA23"/>
      <c r="FPB23"/>
      <c r="FPC23"/>
      <c r="FPD23"/>
      <c r="FPE23"/>
      <c r="FPF23"/>
      <c r="FPG23"/>
      <c r="FPH23"/>
      <c r="FPI23"/>
      <c r="FPJ23"/>
      <c r="FPK23"/>
      <c r="FPL23"/>
      <c r="FPM23"/>
      <c r="FPN23"/>
      <c r="FPO23"/>
      <c r="FPP23"/>
      <c r="FPQ23"/>
      <c r="FPR23"/>
      <c r="FPS23"/>
      <c r="FPT23"/>
      <c r="FPU23"/>
      <c r="FPV23"/>
      <c r="FPW23"/>
      <c r="FPX23"/>
      <c r="FPY23"/>
      <c r="FPZ23"/>
      <c r="FQA23"/>
      <c r="FQB23"/>
      <c r="FQC23"/>
      <c r="FQD23"/>
      <c r="FQE23"/>
      <c r="FQF23"/>
      <c r="FQG23"/>
      <c r="FQH23"/>
      <c r="FQI23"/>
      <c r="FQJ23"/>
      <c r="FQK23"/>
      <c r="FQL23"/>
      <c r="FQM23"/>
      <c r="FQN23"/>
      <c r="FQO23"/>
      <c r="FQP23"/>
      <c r="FQQ23"/>
      <c r="FQR23"/>
      <c r="FQS23"/>
      <c r="FQT23"/>
      <c r="FQU23"/>
      <c r="FQV23"/>
      <c r="FQW23"/>
      <c r="FQX23"/>
      <c r="FQY23"/>
      <c r="FQZ23"/>
      <c r="FRA23"/>
      <c r="FRB23"/>
      <c r="FRC23"/>
      <c r="FRD23"/>
      <c r="FRE23"/>
      <c r="FRF23"/>
      <c r="FRG23"/>
      <c r="FRH23"/>
      <c r="FRI23"/>
      <c r="FRJ23"/>
      <c r="FRK23"/>
      <c r="FRL23"/>
      <c r="FRM23"/>
      <c r="FRN23"/>
      <c r="FRO23"/>
      <c r="FRP23"/>
      <c r="FRQ23"/>
      <c r="FRR23"/>
      <c r="FRS23"/>
      <c r="FRT23"/>
      <c r="FRU23"/>
      <c r="FRV23"/>
      <c r="FRW23"/>
      <c r="FRX23"/>
      <c r="FRY23"/>
      <c r="FRZ23"/>
      <c r="FSA23"/>
      <c r="FSB23"/>
      <c r="FSC23"/>
      <c r="FSD23"/>
      <c r="FSE23"/>
      <c r="FSF23"/>
      <c r="FSG23"/>
      <c r="FSH23"/>
      <c r="FSI23"/>
      <c r="FSJ23"/>
      <c r="FSK23"/>
      <c r="FSL23"/>
      <c r="FSM23"/>
      <c r="FSN23"/>
      <c r="FSO23"/>
      <c r="FSP23"/>
      <c r="FSQ23"/>
      <c r="FSR23"/>
      <c r="FSS23"/>
      <c r="FST23"/>
      <c r="FSU23"/>
      <c r="FSV23"/>
      <c r="FSW23"/>
      <c r="FSX23"/>
      <c r="FSY23"/>
      <c r="FSZ23"/>
      <c r="FTA23"/>
      <c r="FTB23"/>
      <c r="FTC23"/>
      <c r="FTD23"/>
      <c r="FTE23"/>
      <c r="FTF23"/>
      <c r="FTG23"/>
      <c r="FTH23"/>
      <c r="FTI23"/>
      <c r="FTJ23"/>
      <c r="FTK23"/>
      <c r="FTL23"/>
      <c r="FTM23"/>
      <c r="FTN23"/>
      <c r="FTO23"/>
      <c r="FTP23"/>
      <c r="FTQ23"/>
      <c r="FTR23"/>
      <c r="FTS23"/>
      <c r="FTT23"/>
      <c r="FTU23"/>
      <c r="FTV23"/>
      <c r="FTW23"/>
      <c r="FTX23"/>
      <c r="FTY23"/>
      <c r="FTZ23"/>
      <c r="FUA23"/>
      <c r="FUB23"/>
      <c r="FUC23"/>
      <c r="FUD23"/>
      <c r="FUE23"/>
      <c r="FUF23"/>
      <c r="FUG23"/>
      <c r="FUH23"/>
      <c r="FUI23"/>
      <c r="FUJ23"/>
      <c r="FUK23"/>
      <c r="FUL23"/>
      <c r="FUM23"/>
      <c r="FUN23"/>
      <c r="FUO23"/>
      <c r="FUP23"/>
      <c r="FUQ23"/>
      <c r="FUR23"/>
      <c r="FUS23"/>
      <c r="FUT23"/>
      <c r="FUU23"/>
      <c r="FUV23"/>
      <c r="FUW23"/>
      <c r="FUX23"/>
      <c r="FUY23"/>
      <c r="FUZ23"/>
      <c r="FVA23"/>
      <c r="FVB23"/>
      <c r="FVC23"/>
      <c r="FVD23"/>
      <c r="FVE23"/>
      <c r="FVF23"/>
      <c r="FVG23"/>
      <c r="FVH23"/>
      <c r="FVI23"/>
      <c r="FVJ23"/>
      <c r="FVK23"/>
      <c r="FVL23"/>
      <c r="FVM23"/>
      <c r="FVN23"/>
      <c r="FVO23"/>
      <c r="FVP23"/>
      <c r="FVQ23"/>
      <c r="FVR23"/>
      <c r="FVS23"/>
      <c r="FVT23"/>
      <c r="FVU23"/>
      <c r="FVV23"/>
      <c r="FVW23"/>
      <c r="FVX23"/>
      <c r="FVY23"/>
      <c r="FVZ23"/>
      <c r="FWA23"/>
      <c r="FWB23"/>
      <c r="FWC23"/>
      <c r="FWD23"/>
      <c r="FWE23"/>
      <c r="FWF23"/>
      <c r="FWG23"/>
      <c r="FWH23"/>
      <c r="FWI23"/>
      <c r="FWJ23"/>
      <c r="FWK23"/>
      <c r="FWL23"/>
      <c r="FWM23"/>
      <c r="FWN23"/>
      <c r="FWO23"/>
      <c r="FWP23"/>
      <c r="FWQ23"/>
      <c r="FWR23"/>
      <c r="FWS23"/>
      <c r="FWT23"/>
      <c r="FWU23"/>
      <c r="FWV23"/>
      <c r="FWW23"/>
      <c r="FWX23"/>
      <c r="FWY23"/>
      <c r="FWZ23"/>
      <c r="FXA23"/>
      <c r="FXB23"/>
      <c r="FXC23"/>
      <c r="FXD23"/>
      <c r="FXE23"/>
      <c r="FXF23"/>
      <c r="FXG23"/>
      <c r="FXH23"/>
      <c r="FXI23"/>
      <c r="FXJ23"/>
      <c r="FXK23"/>
      <c r="FXL23"/>
      <c r="FXM23"/>
      <c r="FXN23"/>
      <c r="FXO23"/>
      <c r="FXP23"/>
      <c r="FXQ23"/>
      <c r="FXR23"/>
      <c r="FXS23"/>
      <c r="FXT23"/>
      <c r="FXU23"/>
      <c r="FXV23"/>
      <c r="FXW23"/>
      <c r="FXX23"/>
      <c r="FXY23"/>
      <c r="FXZ23"/>
      <c r="FYA23"/>
      <c r="FYB23"/>
      <c r="FYC23"/>
      <c r="FYD23"/>
      <c r="FYE23"/>
      <c r="FYF23"/>
      <c r="FYG23"/>
      <c r="FYH23"/>
      <c r="FYI23"/>
      <c r="FYJ23"/>
      <c r="FYK23"/>
      <c r="FYL23"/>
      <c r="FYM23"/>
      <c r="FYN23"/>
      <c r="FYO23"/>
      <c r="FYP23"/>
      <c r="FYQ23"/>
      <c r="FYR23"/>
      <c r="FYS23"/>
      <c r="FYT23"/>
      <c r="FYU23"/>
      <c r="FYV23"/>
      <c r="FYW23"/>
      <c r="FYX23"/>
      <c r="FYY23"/>
      <c r="FYZ23"/>
      <c r="FZA23"/>
      <c r="FZB23"/>
      <c r="FZC23"/>
      <c r="FZD23"/>
      <c r="FZE23"/>
      <c r="FZF23"/>
      <c r="FZG23"/>
      <c r="FZH23"/>
      <c r="FZI23"/>
      <c r="FZJ23"/>
      <c r="FZK23"/>
      <c r="FZL23"/>
      <c r="FZM23"/>
      <c r="FZN23"/>
      <c r="FZO23"/>
      <c r="FZP23"/>
      <c r="FZQ23"/>
      <c r="FZR23"/>
      <c r="FZS23"/>
      <c r="FZT23"/>
      <c r="FZU23"/>
      <c r="FZV23"/>
      <c r="FZW23"/>
      <c r="FZX23"/>
      <c r="FZY23"/>
      <c r="FZZ23"/>
      <c r="GAA23"/>
      <c r="GAB23"/>
      <c r="GAC23"/>
      <c r="GAD23"/>
      <c r="GAE23"/>
      <c r="GAF23"/>
      <c r="GAG23"/>
      <c r="GAH23"/>
      <c r="GAI23"/>
      <c r="GAJ23"/>
      <c r="GAK23"/>
      <c r="GAL23"/>
      <c r="GAM23"/>
      <c r="GAN23"/>
      <c r="GAO23"/>
      <c r="GAP23"/>
      <c r="GAQ23"/>
      <c r="GAR23"/>
      <c r="GAS23"/>
      <c r="GAT23"/>
      <c r="GAU23"/>
      <c r="GAV23"/>
      <c r="GAW23"/>
      <c r="GAX23"/>
      <c r="GAY23"/>
      <c r="GAZ23"/>
      <c r="GBA23"/>
      <c r="GBB23"/>
      <c r="GBC23"/>
      <c r="GBD23"/>
      <c r="GBE23"/>
      <c r="GBF23"/>
      <c r="GBG23"/>
      <c r="GBH23"/>
      <c r="GBI23"/>
      <c r="GBJ23"/>
      <c r="GBK23"/>
      <c r="GBL23"/>
      <c r="GBM23"/>
      <c r="GBN23"/>
      <c r="GBO23"/>
      <c r="GBP23"/>
      <c r="GBQ23"/>
      <c r="GBR23"/>
      <c r="GBS23"/>
      <c r="GBT23"/>
      <c r="GBU23"/>
      <c r="GBV23"/>
      <c r="GBW23"/>
      <c r="GBX23"/>
      <c r="GBY23"/>
      <c r="GBZ23"/>
      <c r="GCA23"/>
      <c r="GCB23"/>
      <c r="GCC23"/>
      <c r="GCD23"/>
      <c r="GCE23"/>
      <c r="GCF23"/>
      <c r="GCG23"/>
      <c r="GCH23"/>
      <c r="GCI23"/>
      <c r="GCJ23"/>
      <c r="GCK23"/>
      <c r="GCL23"/>
      <c r="GCM23"/>
      <c r="GCN23"/>
      <c r="GCO23"/>
      <c r="GCP23"/>
      <c r="GCQ23"/>
      <c r="GCR23"/>
      <c r="GCS23"/>
      <c r="GCT23"/>
      <c r="GCU23"/>
      <c r="GCV23"/>
      <c r="GCW23"/>
      <c r="GCX23"/>
      <c r="GCY23"/>
      <c r="GCZ23"/>
      <c r="GDA23"/>
      <c r="GDB23"/>
      <c r="GDC23"/>
      <c r="GDD23"/>
      <c r="GDE23"/>
      <c r="GDF23"/>
      <c r="GDG23"/>
      <c r="GDH23"/>
      <c r="GDI23"/>
      <c r="GDJ23"/>
      <c r="GDK23"/>
      <c r="GDL23"/>
      <c r="GDM23"/>
      <c r="GDN23"/>
      <c r="GDO23"/>
      <c r="GDP23"/>
      <c r="GDQ23"/>
      <c r="GDR23"/>
      <c r="GDS23"/>
      <c r="GDT23"/>
      <c r="GDU23"/>
      <c r="GDV23"/>
      <c r="GDW23"/>
      <c r="GDX23"/>
      <c r="GDY23"/>
      <c r="GDZ23"/>
      <c r="GEA23"/>
      <c r="GEB23"/>
      <c r="GEC23"/>
      <c r="GED23"/>
      <c r="GEE23"/>
      <c r="GEF23"/>
      <c r="GEG23"/>
      <c r="GEH23"/>
      <c r="GEI23"/>
      <c r="GEJ23"/>
      <c r="GEK23"/>
      <c r="GEL23"/>
      <c r="GEM23"/>
      <c r="GEN23"/>
      <c r="GEO23"/>
      <c r="GEP23"/>
      <c r="GEQ23"/>
      <c r="GER23"/>
      <c r="GES23"/>
      <c r="GET23"/>
      <c r="GEU23"/>
      <c r="GEV23"/>
      <c r="GEW23"/>
      <c r="GEX23"/>
      <c r="GEY23"/>
      <c r="GEZ23"/>
      <c r="GFA23"/>
      <c r="GFB23"/>
      <c r="GFC23"/>
      <c r="GFD23"/>
      <c r="GFE23"/>
      <c r="GFF23"/>
      <c r="GFG23"/>
      <c r="GFH23"/>
      <c r="GFI23"/>
      <c r="GFJ23"/>
      <c r="GFK23"/>
      <c r="GFL23"/>
      <c r="GFM23"/>
      <c r="GFN23"/>
      <c r="GFO23"/>
      <c r="GFP23"/>
      <c r="GFQ23"/>
      <c r="GFR23"/>
      <c r="GFS23"/>
      <c r="GFT23"/>
      <c r="GFU23"/>
      <c r="GFV23"/>
      <c r="GFW23"/>
      <c r="GFX23"/>
      <c r="GFY23"/>
      <c r="GFZ23"/>
      <c r="GGA23"/>
      <c r="GGB23"/>
      <c r="GGC23"/>
      <c r="GGD23"/>
      <c r="GGE23"/>
      <c r="GGF23"/>
      <c r="GGG23"/>
      <c r="GGH23"/>
      <c r="GGI23"/>
      <c r="GGJ23"/>
      <c r="GGK23"/>
      <c r="GGL23"/>
      <c r="GGM23"/>
      <c r="GGN23"/>
      <c r="GGO23"/>
      <c r="GGP23"/>
      <c r="GGQ23"/>
      <c r="GGR23"/>
      <c r="GGS23"/>
      <c r="GGT23"/>
      <c r="GGU23"/>
      <c r="GGV23"/>
      <c r="GGW23"/>
      <c r="GGX23"/>
      <c r="GGY23"/>
      <c r="GGZ23"/>
      <c r="GHA23"/>
      <c r="GHB23"/>
      <c r="GHC23"/>
      <c r="GHD23"/>
      <c r="GHE23"/>
      <c r="GHF23"/>
      <c r="GHG23"/>
      <c r="GHH23"/>
      <c r="GHI23"/>
      <c r="GHJ23"/>
      <c r="GHK23"/>
      <c r="GHL23"/>
      <c r="GHM23"/>
      <c r="GHN23"/>
      <c r="GHO23"/>
      <c r="GHP23"/>
      <c r="GHQ23"/>
      <c r="GHR23"/>
      <c r="GHS23"/>
      <c r="GHT23"/>
      <c r="GHU23"/>
      <c r="GHV23"/>
      <c r="GHW23"/>
      <c r="GHX23"/>
      <c r="GHY23"/>
      <c r="GHZ23"/>
      <c r="GIA23"/>
      <c r="GIB23"/>
      <c r="GIC23"/>
      <c r="GID23"/>
      <c r="GIE23"/>
      <c r="GIF23"/>
      <c r="GIG23"/>
      <c r="GIH23"/>
      <c r="GII23"/>
      <c r="GIJ23"/>
      <c r="GIK23"/>
      <c r="GIL23"/>
      <c r="GIM23"/>
      <c r="GIN23"/>
      <c r="GIO23"/>
      <c r="GIP23"/>
      <c r="GIQ23"/>
      <c r="GIR23"/>
      <c r="GIS23"/>
      <c r="GIT23"/>
      <c r="GIU23"/>
      <c r="GIV23"/>
      <c r="GIW23"/>
      <c r="GIX23"/>
      <c r="GIY23"/>
      <c r="GIZ23"/>
      <c r="GJA23"/>
      <c r="GJB23"/>
      <c r="GJC23"/>
      <c r="GJD23"/>
      <c r="GJE23"/>
      <c r="GJF23"/>
      <c r="GJG23"/>
      <c r="GJH23"/>
      <c r="GJI23"/>
      <c r="GJJ23"/>
      <c r="GJK23"/>
      <c r="GJL23"/>
      <c r="GJM23"/>
      <c r="GJN23"/>
      <c r="GJO23"/>
      <c r="GJP23"/>
      <c r="GJQ23"/>
      <c r="GJR23"/>
      <c r="GJS23"/>
      <c r="GJT23"/>
      <c r="GJU23"/>
      <c r="GJV23"/>
      <c r="GJW23"/>
      <c r="GJX23"/>
      <c r="GJY23"/>
      <c r="GJZ23"/>
      <c r="GKA23"/>
      <c r="GKB23"/>
      <c r="GKC23"/>
      <c r="GKD23"/>
      <c r="GKE23"/>
      <c r="GKF23"/>
      <c r="GKG23"/>
      <c r="GKH23"/>
      <c r="GKI23"/>
      <c r="GKJ23"/>
      <c r="GKK23"/>
      <c r="GKL23"/>
      <c r="GKM23"/>
      <c r="GKN23"/>
      <c r="GKO23"/>
      <c r="GKP23"/>
      <c r="GKQ23"/>
      <c r="GKR23"/>
      <c r="GKS23"/>
      <c r="GKT23"/>
      <c r="GKU23"/>
      <c r="GKV23"/>
      <c r="GKW23"/>
      <c r="GKX23"/>
      <c r="GKY23"/>
      <c r="GKZ23"/>
      <c r="GLA23"/>
      <c r="GLB23"/>
      <c r="GLC23"/>
      <c r="GLD23"/>
      <c r="GLE23"/>
      <c r="GLF23"/>
      <c r="GLG23"/>
      <c r="GLH23"/>
      <c r="GLI23"/>
      <c r="GLJ23"/>
      <c r="GLK23"/>
      <c r="GLL23"/>
      <c r="GLM23"/>
      <c r="GLN23"/>
      <c r="GLO23"/>
      <c r="GLP23"/>
      <c r="GLQ23"/>
      <c r="GLR23"/>
      <c r="GLS23"/>
      <c r="GLT23"/>
      <c r="GLU23"/>
      <c r="GLV23"/>
      <c r="GLW23"/>
      <c r="GLX23"/>
      <c r="GLY23"/>
      <c r="GLZ23"/>
      <c r="GMA23"/>
      <c r="GMB23"/>
      <c r="GMC23"/>
      <c r="GMD23"/>
      <c r="GME23"/>
      <c r="GMF23"/>
      <c r="GMG23"/>
      <c r="GMH23"/>
      <c r="GMI23"/>
      <c r="GMJ23"/>
      <c r="GMK23"/>
      <c r="GML23"/>
      <c r="GMM23"/>
      <c r="GMN23"/>
      <c r="GMO23"/>
      <c r="GMP23"/>
      <c r="GMQ23"/>
      <c r="GMR23"/>
      <c r="GMS23"/>
      <c r="GMT23"/>
      <c r="GMU23"/>
      <c r="GMV23"/>
      <c r="GMW23"/>
      <c r="GMX23"/>
      <c r="GMY23"/>
      <c r="GMZ23"/>
      <c r="GNA23"/>
      <c r="GNB23"/>
      <c r="GNC23"/>
      <c r="GND23"/>
      <c r="GNE23"/>
      <c r="GNF23"/>
      <c r="GNG23"/>
      <c r="GNH23"/>
      <c r="GNI23"/>
      <c r="GNJ23"/>
      <c r="GNK23"/>
      <c r="GNL23"/>
      <c r="GNM23"/>
      <c r="GNN23"/>
      <c r="GNO23"/>
      <c r="GNP23"/>
      <c r="GNQ23"/>
      <c r="GNR23"/>
      <c r="GNS23"/>
      <c r="GNT23"/>
      <c r="GNU23"/>
      <c r="GNV23"/>
      <c r="GNW23"/>
      <c r="GNX23"/>
      <c r="GNY23"/>
      <c r="GNZ23"/>
      <c r="GOA23"/>
      <c r="GOB23"/>
      <c r="GOC23"/>
      <c r="GOD23"/>
      <c r="GOE23"/>
      <c r="GOF23"/>
      <c r="GOG23"/>
      <c r="GOH23"/>
      <c r="GOI23"/>
      <c r="GOJ23"/>
      <c r="GOK23"/>
      <c r="GOL23"/>
      <c r="GOM23"/>
      <c r="GON23"/>
      <c r="GOO23"/>
      <c r="GOP23"/>
      <c r="GOQ23"/>
      <c r="GOR23"/>
      <c r="GOS23"/>
      <c r="GOT23"/>
      <c r="GOU23"/>
      <c r="GOV23"/>
      <c r="GOW23"/>
      <c r="GOX23"/>
      <c r="GOY23"/>
      <c r="GOZ23"/>
      <c r="GPA23"/>
      <c r="GPB23"/>
      <c r="GPC23"/>
      <c r="GPD23"/>
      <c r="GPE23"/>
      <c r="GPF23"/>
      <c r="GPG23"/>
      <c r="GPH23"/>
      <c r="GPI23"/>
      <c r="GPJ23"/>
      <c r="GPK23"/>
      <c r="GPL23"/>
      <c r="GPM23"/>
      <c r="GPN23"/>
      <c r="GPO23"/>
      <c r="GPP23"/>
      <c r="GPQ23"/>
      <c r="GPR23"/>
      <c r="GPS23"/>
      <c r="GPT23"/>
      <c r="GPU23"/>
      <c r="GPV23"/>
      <c r="GPW23"/>
      <c r="GPX23"/>
      <c r="GPY23"/>
      <c r="GPZ23"/>
      <c r="GQA23"/>
      <c r="GQB23"/>
      <c r="GQC23"/>
      <c r="GQD23"/>
      <c r="GQE23"/>
      <c r="GQF23"/>
      <c r="GQG23"/>
      <c r="GQH23"/>
      <c r="GQI23"/>
      <c r="GQJ23"/>
      <c r="GQK23"/>
      <c r="GQL23"/>
      <c r="GQM23"/>
      <c r="GQN23"/>
      <c r="GQO23"/>
      <c r="GQP23"/>
      <c r="GQQ23"/>
      <c r="GQR23"/>
      <c r="GQS23"/>
      <c r="GQT23"/>
      <c r="GQU23"/>
      <c r="GQV23"/>
      <c r="GQW23"/>
      <c r="GQX23"/>
      <c r="GQY23"/>
      <c r="GQZ23"/>
      <c r="GRA23"/>
      <c r="GRB23"/>
      <c r="GRC23"/>
      <c r="GRD23"/>
      <c r="GRE23"/>
      <c r="GRF23"/>
      <c r="GRG23"/>
      <c r="GRH23"/>
      <c r="GRI23"/>
      <c r="GRJ23"/>
      <c r="GRK23"/>
      <c r="GRL23"/>
      <c r="GRM23"/>
      <c r="GRN23"/>
      <c r="GRO23"/>
      <c r="GRP23"/>
      <c r="GRQ23"/>
      <c r="GRR23"/>
      <c r="GRS23"/>
      <c r="GRT23"/>
      <c r="GRU23"/>
      <c r="GRV23"/>
      <c r="GRW23"/>
      <c r="GRX23"/>
      <c r="GRY23"/>
      <c r="GRZ23"/>
      <c r="GSA23"/>
      <c r="GSB23"/>
      <c r="GSC23"/>
      <c r="GSD23"/>
      <c r="GSE23"/>
      <c r="GSF23"/>
      <c r="GSG23"/>
      <c r="GSH23"/>
      <c r="GSI23"/>
      <c r="GSJ23"/>
      <c r="GSK23"/>
      <c r="GSL23"/>
      <c r="GSM23"/>
      <c r="GSN23"/>
      <c r="GSO23"/>
      <c r="GSP23"/>
      <c r="GSQ23"/>
      <c r="GSR23"/>
      <c r="GSS23"/>
      <c r="GST23"/>
      <c r="GSU23"/>
      <c r="GSV23"/>
      <c r="GSW23"/>
      <c r="GSX23"/>
      <c r="GSY23"/>
      <c r="GSZ23"/>
      <c r="GTA23"/>
      <c r="GTB23"/>
      <c r="GTC23"/>
      <c r="GTD23"/>
      <c r="GTE23"/>
      <c r="GTF23"/>
      <c r="GTG23"/>
      <c r="GTH23"/>
      <c r="GTI23"/>
      <c r="GTJ23"/>
      <c r="GTK23"/>
      <c r="GTL23"/>
      <c r="GTM23"/>
      <c r="GTN23"/>
      <c r="GTO23"/>
      <c r="GTP23"/>
      <c r="GTQ23"/>
      <c r="GTR23"/>
      <c r="GTS23"/>
      <c r="GTT23"/>
      <c r="GTU23"/>
      <c r="GTV23"/>
      <c r="GTW23"/>
      <c r="GTX23"/>
      <c r="GTY23"/>
      <c r="GTZ23"/>
      <c r="GUA23"/>
      <c r="GUB23"/>
      <c r="GUC23"/>
      <c r="GUD23"/>
      <c r="GUE23"/>
      <c r="GUF23"/>
      <c r="GUG23"/>
      <c r="GUH23"/>
      <c r="GUI23"/>
      <c r="GUJ23"/>
      <c r="GUK23"/>
      <c r="GUL23"/>
      <c r="GUM23"/>
      <c r="GUN23"/>
      <c r="GUO23"/>
      <c r="GUP23"/>
      <c r="GUQ23"/>
      <c r="GUR23"/>
      <c r="GUS23"/>
      <c r="GUT23"/>
      <c r="GUU23"/>
      <c r="GUV23"/>
      <c r="GUW23"/>
      <c r="GUX23"/>
      <c r="GUY23"/>
      <c r="GUZ23"/>
      <c r="GVA23"/>
      <c r="GVB23"/>
      <c r="GVC23"/>
      <c r="GVD23"/>
      <c r="GVE23"/>
      <c r="GVF23"/>
      <c r="GVG23"/>
      <c r="GVH23"/>
      <c r="GVI23"/>
      <c r="GVJ23"/>
      <c r="GVK23"/>
      <c r="GVL23"/>
      <c r="GVM23"/>
      <c r="GVN23"/>
      <c r="GVO23"/>
      <c r="GVP23"/>
      <c r="GVQ23"/>
      <c r="GVR23"/>
      <c r="GVS23"/>
      <c r="GVT23"/>
      <c r="GVU23"/>
      <c r="GVV23"/>
      <c r="GVW23"/>
      <c r="GVX23"/>
      <c r="GVY23"/>
      <c r="GVZ23"/>
      <c r="GWA23"/>
      <c r="GWB23"/>
      <c r="GWC23"/>
      <c r="GWD23"/>
      <c r="GWE23"/>
      <c r="GWF23"/>
      <c r="GWG23"/>
      <c r="GWH23"/>
      <c r="GWI23"/>
      <c r="GWJ23"/>
      <c r="GWK23"/>
      <c r="GWL23"/>
      <c r="GWM23"/>
      <c r="GWN23"/>
      <c r="GWO23"/>
      <c r="GWP23"/>
      <c r="GWQ23"/>
      <c r="GWR23"/>
      <c r="GWS23"/>
      <c r="GWT23"/>
      <c r="GWU23"/>
      <c r="GWV23"/>
      <c r="GWW23"/>
      <c r="GWX23"/>
      <c r="GWY23"/>
      <c r="GWZ23"/>
      <c r="GXA23"/>
      <c r="GXB23"/>
      <c r="GXC23"/>
      <c r="GXD23"/>
      <c r="GXE23"/>
      <c r="GXF23"/>
      <c r="GXG23"/>
      <c r="GXH23"/>
      <c r="GXI23"/>
      <c r="GXJ23"/>
      <c r="GXK23"/>
      <c r="GXL23"/>
      <c r="GXM23"/>
      <c r="GXN23"/>
      <c r="GXO23"/>
      <c r="GXP23"/>
      <c r="GXQ23"/>
      <c r="GXR23"/>
      <c r="GXS23"/>
      <c r="GXT23"/>
      <c r="GXU23"/>
      <c r="GXV23"/>
      <c r="GXW23"/>
      <c r="GXX23"/>
      <c r="GXY23"/>
      <c r="GXZ23"/>
      <c r="GYA23"/>
      <c r="GYB23"/>
      <c r="GYC23"/>
      <c r="GYD23"/>
      <c r="GYE23"/>
      <c r="GYF23"/>
      <c r="GYG23"/>
      <c r="GYH23"/>
      <c r="GYI23"/>
      <c r="GYJ23"/>
      <c r="GYK23"/>
      <c r="GYL23"/>
      <c r="GYM23"/>
      <c r="GYN23"/>
      <c r="GYO23"/>
      <c r="GYP23"/>
      <c r="GYQ23"/>
      <c r="GYR23"/>
      <c r="GYS23"/>
      <c r="GYT23"/>
      <c r="GYU23"/>
      <c r="GYV23"/>
      <c r="GYW23"/>
      <c r="GYX23"/>
      <c r="GYY23"/>
      <c r="GYZ23"/>
      <c r="GZA23"/>
      <c r="GZB23"/>
      <c r="GZC23"/>
      <c r="GZD23"/>
      <c r="GZE23"/>
      <c r="GZF23"/>
      <c r="GZG23"/>
      <c r="GZH23"/>
      <c r="GZI23"/>
      <c r="GZJ23"/>
      <c r="GZK23"/>
      <c r="GZL23"/>
      <c r="GZM23"/>
      <c r="GZN23"/>
      <c r="GZO23"/>
      <c r="GZP23"/>
      <c r="GZQ23"/>
      <c r="GZR23"/>
      <c r="GZS23"/>
      <c r="GZT23"/>
      <c r="GZU23"/>
      <c r="GZV23"/>
      <c r="GZW23"/>
      <c r="GZX23"/>
      <c r="GZY23"/>
      <c r="GZZ23"/>
      <c r="HAA23"/>
      <c r="HAB23"/>
      <c r="HAC23"/>
      <c r="HAD23"/>
      <c r="HAE23"/>
      <c r="HAF23"/>
      <c r="HAG23"/>
      <c r="HAH23"/>
      <c r="HAI23"/>
      <c r="HAJ23"/>
      <c r="HAK23"/>
      <c r="HAL23"/>
      <c r="HAM23"/>
      <c r="HAN23"/>
      <c r="HAO23"/>
      <c r="HAP23"/>
      <c r="HAQ23"/>
      <c r="HAR23"/>
      <c r="HAS23"/>
      <c r="HAT23"/>
      <c r="HAU23"/>
      <c r="HAV23"/>
      <c r="HAW23"/>
      <c r="HAX23"/>
      <c r="HAY23"/>
      <c r="HAZ23"/>
      <c r="HBA23"/>
      <c r="HBB23"/>
      <c r="HBC23"/>
      <c r="HBD23"/>
      <c r="HBE23"/>
      <c r="HBF23"/>
      <c r="HBG23"/>
      <c r="HBH23"/>
      <c r="HBI23"/>
      <c r="HBJ23"/>
      <c r="HBK23"/>
      <c r="HBL23"/>
      <c r="HBM23"/>
      <c r="HBN23"/>
      <c r="HBO23"/>
      <c r="HBP23"/>
      <c r="HBQ23"/>
      <c r="HBR23"/>
      <c r="HBS23"/>
      <c r="HBT23"/>
      <c r="HBU23"/>
      <c r="HBV23"/>
      <c r="HBW23"/>
      <c r="HBX23"/>
      <c r="HBY23"/>
      <c r="HBZ23"/>
      <c r="HCA23"/>
      <c r="HCB23"/>
      <c r="HCC23"/>
      <c r="HCD23"/>
      <c r="HCE23"/>
      <c r="HCF23"/>
      <c r="HCG23"/>
      <c r="HCH23"/>
      <c r="HCI23"/>
      <c r="HCJ23"/>
      <c r="HCK23"/>
      <c r="HCL23"/>
      <c r="HCM23"/>
      <c r="HCN23"/>
      <c r="HCO23"/>
      <c r="HCP23"/>
      <c r="HCQ23"/>
      <c r="HCR23"/>
      <c r="HCS23"/>
      <c r="HCT23"/>
      <c r="HCU23"/>
      <c r="HCV23"/>
      <c r="HCW23"/>
      <c r="HCX23"/>
      <c r="HCY23"/>
      <c r="HCZ23"/>
      <c r="HDA23"/>
      <c r="HDB23"/>
      <c r="HDC23"/>
      <c r="HDD23"/>
      <c r="HDE23"/>
      <c r="HDF23"/>
      <c r="HDG23"/>
      <c r="HDH23"/>
      <c r="HDI23"/>
      <c r="HDJ23"/>
      <c r="HDK23"/>
      <c r="HDL23"/>
      <c r="HDM23"/>
      <c r="HDN23"/>
      <c r="HDO23"/>
      <c r="HDP23"/>
      <c r="HDQ23"/>
      <c r="HDR23"/>
      <c r="HDS23"/>
      <c r="HDT23"/>
      <c r="HDU23"/>
      <c r="HDV23"/>
      <c r="HDW23"/>
      <c r="HDX23"/>
      <c r="HDY23"/>
      <c r="HDZ23"/>
      <c r="HEA23"/>
      <c r="HEB23"/>
      <c r="HEC23"/>
      <c r="HED23"/>
      <c r="HEE23"/>
      <c r="HEF23"/>
      <c r="HEG23"/>
      <c r="HEH23"/>
      <c r="HEI23"/>
      <c r="HEJ23"/>
      <c r="HEK23"/>
      <c r="HEL23"/>
      <c r="HEM23"/>
      <c r="HEN23"/>
      <c r="HEO23"/>
      <c r="HEP23"/>
      <c r="HEQ23"/>
      <c r="HER23"/>
      <c r="HES23"/>
      <c r="HET23"/>
      <c r="HEU23"/>
      <c r="HEV23"/>
      <c r="HEW23"/>
      <c r="HEX23"/>
      <c r="HEY23"/>
      <c r="HEZ23"/>
      <c r="HFA23"/>
      <c r="HFB23"/>
      <c r="HFC23"/>
      <c r="HFD23"/>
      <c r="HFE23"/>
      <c r="HFF23"/>
      <c r="HFG23"/>
      <c r="HFH23"/>
      <c r="HFI23"/>
      <c r="HFJ23"/>
      <c r="HFK23"/>
      <c r="HFL23"/>
      <c r="HFM23"/>
      <c r="HFN23"/>
      <c r="HFO23"/>
      <c r="HFP23"/>
      <c r="HFQ23"/>
      <c r="HFR23"/>
      <c r="HFS23"/>
      <c r="HFT23"/>
      <c r="HFU23"/>
      <c r="HFV23"/>
      <c r="HFW23"/>
      <c r="HFX23"/>
      <c r="HFY23"/>
      <c r="HFZ23"/>
      <c r="HGA23"/>
      <c r="HGB23"/>
      <c r="HGC23"/>
      <c r="HGD23"/>
      <c r="HGE23"/>
      <c r="HGF23"/>
      <c r="HGG23"/>
      <c r="HGH23"/>
      <c r="HGI23"/>
      <c r="HGJ23"/>
      <c r="HGK23"/>
      <c r="HGL23"/>
      <c r="HGM23"/>
      <c r="HGN23"/>
      <c r="HGO23"/>
      <c r="HGP23"/>
      <c r="HGQ23"/>
      <c r="HGR23"/>
      <c r="HGS23"/>
      <c r="HGT23"/>
      <c r="HGU23"/>
      <c r="HGV23"/>
      <c r="HGW23"/>
      <c r="HGX23"/>
      <c r="HGY23"/>
      <c r="HGZ23"/>
      <c r="HHA23"/>
      <c r="HHB23"/>
      <c r="HHC23"/>
      <c r="HHD23"/>
      <c r="HHE23"/>
      <c r="HHF23"/>
      <c r="HHG23"/>
      <c r="HHH23"/>
      <c r="HHI23"/>
      <c r="HHJ23"/>
      <c r="HHK23"/>
      <c r="HHL23"/>
      <c r="HHM23"/>
      <c r="HHN23"/>
      <c r="HHO23"/>
      <c r="HHP23"/>
      <c r="HHQ23"/>
      <c r="HHR23"/>
      <c r="HHS23"/>
      <c r="HHT23"/>
      <c r="HHU23"/>
      <c r="HHV23"/>
      <c r="HHW23"/>
      <c r="HHX23"/>
      <c r="HHY23"/>
      <c r="HHZ23"/>
      <c r="HIA23"/>
      <c r="HIB23"/>
      <c r="HIC23"/>
      <c r="HID23"/>
      <c r="HIE23"/>
      <c r="HIF23"/>
      <c r="HIG23"/>
      <c r="HIH23"/>
      <c r="HII23"/>
      <c r="HIJ23"/>
      <c r="HIK23"/>
      <c r="HIL23"/>
      <c r="HIM23"/>
      <c r="HIN23"/>
      <c r="HIO23"/>
      <c r="HIP23"/>
      <c r="HIQ23"/>
      <c r="HIR23"/>
      <c r="HIS23"/>
      <c r="HIT23"/>
      <c r="HIU23"/>
      <c r="HIV23"/>
      <c r="HIW23"/>
      <c r="HIX23"/>
      <c r="HIY23"/>
      <c r="HIZ23"/>
      <c r="HJA23"/>
      <c r="HJB23"/>
      <c r="HJC23"/>
      <c r="HJD23"/>
      <c r="HJE23"/>
      <c r="HJF23"/>
      <c r="HJG23"/>
      <c r="HJH23"/>
      <c r="HJI23"/>
      <c r="HJJ23"/>
      <c r="HJK23"/>
      <c r="HJL23"/>
      <c r="HJM23"/>
      <c r="HJN23"/>
      <c r="HJO23"/>
      <c r="HJP23"/>
      <c r="HJQ23"/>
      <c r="HJR23"/>
      <c r="HJS23"/>
      <c r="HJT23"/>
      <c r="HJU23"/>
      <c r="HJV23"/>
      <c r="HJW23"/>
      <c r="HJX23"/>
      <c r="HJY23"/>
      <c r="HJZ23"/>
      <c r="HKA23"/>
      <c r="HKB23"/>
      <c r="HKC23"/>
      <c r="HKD23"/>
      <c r="HKE23"/>
      <c r="HKF23"/>
      <c r="HKG23"/>
      <c r="HKH23"/>
      <c r="HKI23"/>
      <c r="HKJ23"/>
      <c r="HKK23"/>
      <c r="HKL23"/>
      <c r="HKM23"/>
      <c r="HKN23"/>
      <c r="HKO23"/>
      <c r="HKP23"/>
      <c r="HKQ23"/>
      <c r="HKR23"/>
      <c r="HKS23"/>
      <c r="HKT23"/>
      <c r="HKU23"/>
      <c r="HKV23"/>
      <c r="HKW23"/>
      <c r="HKX23"/>
      <c r="HKY23"/>
      <c r="HKZ23"/>
      <c r="HLA23"/>
      <c r="HLB23"/>
      <c r="HLC23"/>
      <c r="HLD23"/>
      <c r="HLE23"/>
      <c r="HLF23"/>
      <c r="HLG23"/>
      <c r="HLH23"/>
      <c r="HLI23"/>
      <c r="HLJ23"/>
      <c r="HLK23"/>
      <c r="HLL23"/>
      <c r="HLM23"/>
      <c r="HLN23"/>
      <c r="HLO23"/>
      <c r="HLP23"/>
      <c r="HLQ23"/>
      <c r="HLR23"/>
      <c r="HLS23"/>
      <c r="HLT23"/>
      <c r="HLU23"/>
      <c r="HLV23"/>
      <c r="HLW23"/>
      <c r="HLX23"/>
      <c r="HLY23"/>
      <c r="HLZ23"/>
      <c r="HMA23"/>
      <c r="HMB23"/>
      <c r="HMC23"/>
      <c r="HMD23"/>
      <c r="HME23"/>
      <c r="HMF23"/>
      <c r="HMG23"/>
      <c r="HMH23"/>
      <c r="HMI23"/>
      <c r="HMJ23"/>
      <c r="HMK23"/>
      <c r="HML23"/>
      <c r="HMM23"/>
      <c r="HMN23"/>
      <c r="HMO23"/>
      <c r="HMP23"/>
      <c r="HMQ23"/>
      <c r="HMR23"/>
      <c r="HMS23"/>
      <c r="HMT23"/>
      <c r="HMU23"/>
      <c r="HMV23"/>
      <c r="HMW23"/>
      <c r="HMX23"/>
      <c r="HMY23"/>
      <c r="HMZ23"/>
      <c r="HNA23"/>
      <c r="HNB23"/>
      <c r="HNC23"/>
      <c r="HND23"/>
      <c r="HNE23"/>
      <c r="HNF23"/>
      <c r="HNG23"/>
      <c r="HNH23"/>
      <c r="HNI23"/>
      <c r="HNJ23"/>
      <c r="HNK23"/>
      <c r="HNL23"/>
      <c r="HNM23"/>
      <c r="HNN23"/>
      <c r="HNO23"/>
      <c r="HNP23"/>
      <c r="HNQ23"/>
      <c r="HNR23"/>
      <c r="HNS23"/>
      <c r="HNT23"/>
      <c r="HNU23"/>
      <c r="HNV23"/>
      <c r="HNW23"/>
      <c r="HNX23"/>
      <c r="HNY23"/>
      <c r="HNZ23"/>
      <c r="HOA23"/>
      <c r="HOB23"/>
      <c r="HOC23"/>
      <c r="HOD23"/>
      <c r="HOE23"/>
      <c r="HOF23"/>
      <c r="HOG23"/>
      <c r="HOH23"/>
      <c r="HOI23"/>
      <c r="HOJ23"/>
      <c r="HOK23"/>
      <c r="HOL23"/>
      <c r="HOM23"/>
      <c r="HON23"/>
      <c r="HOO23"/>
      <c r="HOP23"/>
      <c r="HOQ23"/>
      <c r="HOR23"/>
      <c r="HOS23"/>
      <c r="HOT23"/>
      <c r="HOU23"/>
      <c r="HOV23"/>
      <c r="HOW23"/>
      <c r="HOX23"/>
      <c r="HOY23"/>
      <c r="HOZ23"/>
      <c r="HPA23"/>
      <c r="HPB23"/>
      <c r="HPC23"/>
      <c r="HPD23"/>
      <c r="HPE23"/>
      <c r="HPF23"/>
      <c r="HPG23"/>
      <c r="HPH23"/>
      <c r="HPI23"/>
      <c r="HPJ23"/>
      <c r="HPK23"/>
      <c r="HPL23"/>
      <c r="HPM23"/>
      <c r="HPN23"/>
      <c r="HPO23"/>
      <c r="HPP23"/>
      <c r="HPQ23"/>
      <c r="HPR23"/>
      <c r="HPS23"/>
      <c r="HPT23"/>
      <c r="HPU23"/>
      <c r="HPV23"/>
      <c r="HPW23"/>
      <c r="HPX23"/>
      <c r="HPY23"/>
      <c r="HPZ23"/>
      <c r="HQA23"/>
      <c r="HQB23"/>
      <c r="HQC23"/>
      <c r="HQD23"/>
      <c r="HQE23"/>
      <c r="HQF23"/>
      <c r="HQG23"/>
      <c r="HQH23"/>
      <c r="HQI23"/>
      <c r="HQJ23"/>
      <c r="HQK23"/>
      <c r="HQL23"/>
      <c r="HQM23"/>
      <c r="HQN23"/>
      <c r="HQO23"/>
      <c r="HQP23"/>
      <c r="HQQ23"/>
      <c r="HQR23"/>
      <c r="HQS23"/>
      <c r="HQT23"/>
      <c r="HQU23"/>
      <c r="HQV23"/>
      <c r="HQW23"/>
      <c r="HQX23"/>
      <c r="HQY23"/>
      <c r="HQZ23"/>
      <c r="HRA23"/>
      <c r="HRB23"/>
      <c r="HRC23"/>
      <c r="HRD23"/>
      <c r="HRE23"/>
      <c r="HRF23"/>
      <c r="HRG23"/>
      <c r="HRH23"/>
      <c r="HRI23"/>
      <c r="HRJ23"/>
      <c r="HRK23"/>
      <c r="HRL23"/>
      <c r="HRM23"/>
      <c r="HRN23"/>
      <c r="HRO23"/>
      <c r="HRP23"/>
      <c r="HRQ23"/>
      <c r="HRR23"/>
      <c r="HRS23"/>
      <c r="HRT23"/>
      <c r="HRU23"/>
      <c r="HRV23"/>
      <c r="HRW23"/>
      <c r="HRX23"/>
      <c r="HRY23"/>
      <c r="HRZ23"/>
      <c r="HSA23"/>
      <c r="HSB23"/>
      <c r="HSC23"/>
      <c r="HSD23"/>
      <c r="HSE23"/>
      <c r="HSF23"/>
      <c r="HSG23"/>
      <c r="HSH23"/>
      <c r="HSI23"/>
      <c r="HSJ23"/>
      <c r="HSK23"/>
      <c r="HSL23"/>
      <c r="HSM23"/>
      <c r="HSN23"/>
      <c r="HSO23"/>
      <c r="HSP23"/>
      <c r="HSQ23"/>
      <c r="HSR23"/>
      <c r="HSS23"/>
      <c r="HST23"/>
      <c r="HSU23"/>
      <c r="HSV23"/>
      <c r="HSW23"/>
      <c r="HSX23"/>
      <c r="HSY23"/>
      <c r="HSZ23"/>
      <c r="HTA23"/>
      <c r="HTB23"/>
      <c r="HTC23"/>
      <c r="HTD23"/>
      <c r="HTE23"/>
      <c r="HTF23"/>
      <c r="HTG23"/>
      <c r="HTH23"/>
      <c r="HTI23"/>
      <c r="HTJ23"/>
      <c r="HTK23"/>
      <c r="HTL23"/>
      <c r="HTM23"/>
      <c r="HTN23"/>
      <c r="HTO23"/>
      <c r="HTP23"/>
      <c r="HTQ23"/>
      <c r="HTR23"/>
      <c r="HTS23"/>
      <c r="HTT23"/>
      <c r="HTU23"/>
      <c r="HTV23"/>
      <c r="HTW23"/>
      <c r="HTX23"/>
      <c r="HTY23"/>
      <c r="HTZ23"/>
      <c r="HUA23"/>
      <c r="HUB23"/>
      <c r="HUC23"/>
      <c r="HUD23"/>
      <c r="HUE23"/>
      <c r="HUF23"/>
      <c r="HUG23"/>
      <c r="HUH23"/>
      <c r="HUI23"/>
      <c r="HUJ23"/>
      <c r="HUK23"/>
      <c r="HUL23"/>
      <c r="HUM23"/>
      <c r="HUN23"/>
      <c r="HUO23"/>
      <c r="HUP23"/>
      <c r="HUQ23"/>
      <c r="HUR23"/>
      <c r="HUS23"/>
      <c r="HUT23"/>
      <c r="HUU23"/>
      <c r="HUV23"/>
      <c r="HUW23"/>
      <c r="HUX23"/>
      <c r="HUY23"/>
      <c r="HUZ23"/>
      <c r="HVA23"/>
      <c r="HVB23"/>
      <c r="HVC23"/>
      <c r="HVD23"/>
      <c r="HVE23"/>
      <c r="HVF23"/>
      <c r="HVG23"/>
      <c r="HVH23"/>
      <c r="HVI23"/>
      <c r="HVJ23"/>
      <c r="HVK23"/>
      <c r="HVL23"/>
      <c r="HVM23"/>
      <c r="HVN23"/>
      <c r="HVO23"/>
      <c r="HVP23"/>
      <c r="HVQ23"/>
      <c r="HVR23"/>
      <c r="HVS23"/>
      <c r="HVT23"/>
      <c r="HVU23"/>
      <c r="HVV23"/>
      <c r="HVW23"/>
      <c r="HVX23"/>
      <c r="HVY23"/>
      <c r="HVZ23"/>
      <c r="HWA23"/>
      <c r="HWB23"/>
      <c r="HWC23"/>
      <c r="HWD23"/>
      <c r="HWE23"/>
      <c r="HWF23"/>
      <c r="HWG23"/>
      <c r="HWH23"/>
      <c r="HWI23"/>
      <c r="HWJ23"/>
      <c r="HWK23"/>
      <c r="HWL23"/>
      <c r="HWM23"/>
      <c r="HWN23"/>
      <c r="HWO23"/>
      <c r="HWP23"/>
      <c r="HWQ23"/>
      <c r="HWR23"/>
      <c r="HWS23"/>
      <c r="HWT23"/>
      <c r="HWU23"/>
      <c r="HWV23"/>
      <c r="HWW23"/>
      <c r="HWX23"/>
      <c r="HWY23"/>
      <c r="HWZ23"/>
      <c r="HXA23"/>
      <c r="HXB23"/>
      <c r="HXC23"/>
      <c r="HXD23"/>
      <c r="HXE23"/>
      <c r="HXF23"/>
      <c r="HXG23"/>
      <c r="HXH23"/>
      <c r="HXI23"/>
      <c r="HXJ23"/>
      <c r="HXK23"/>
      <c r="HXL23"/>
      <c r="HXM23"/>
      <c r="HXN23"/>
      <c r="HXO23"/>
      <c r="HXP23"/>
      <c r="HXQ23"/>
      <c r="HXR23"/>
      <c r="HXS23"/>
      <c r="HXT23"/>
      <c r="HXU23"/>
      <c r="HXV23"/>
      <c r="HXW23"/>
      <c r="HXX23"/>
      <c r="HXY23"/>
      <c r="HXZ23"/>
      <c r="HYA23"/>
      <c r="HYB23"/>
      <c r="HYC23"/>
      <c r="HYD23"/>
      <c r="HYE23"/>
      <c r="HYF23"/>
      <c r="HYG23"/>
      <c r="HYH23"/>
      <c r="HYI23"/>
      <c r="HYJ23"/>
      <c r="HYK23"/>
      <c r="HYL23"/>
      <c r="HYM23"/>
      <c r="HYN23"/>
      <c r="HYO23"/>
      <c r="HYP23"/>
      <c r="HYQ23"/>
      <c r="HYR23"/>
      <c r="HYS23"/>
      <c r="HYT23"/>
      <c r="HYU23"/>
      <c r="HYV23"/>
      <c r="HYW23"/>
      <c r="HYX23"/>
      <c r="HYY23"/>
      <c r="HYZ23"/>
      <c r="HZA23"/>
      <c r="HZB23"/>
      <c r="HZC23"/>
      <c r="HZD23"/>
      <c r="HZE23"/>
      <c r="HZF23"/>
      <c r="HZG23"/>
      <c r="HZH23"/>
      <c r="HZI23"/>
      <c r="HZJ23"/>
      <c r="HZK23"/>
      <c r="HZL23"/>
      <c r="HZM23"/>
      <c r="HZN23"/>
      <c r="HZO23"/>
      <c r="HZP23"/>
      <c r="HZQ23"/>
      <c r="HZR23"/>
      <c r="HZS23"/>
      <c r="HZT23"/>
      <c r="HZU23"/>
      <c r="HZV23"/>
      <c r="HZW23"/>
      <c r="HZX23"/>
      <c r="HZY23"/>
      <c r="HZZ23"/>
      <c r="IAA23"/>
      <c r="IAB23"/>
      <c r="IAC23"/>
      <c r="IAD23"/>
      <c r="IAE23"/>
      <c r="IAF23"/>
      <c r="IAG23"/>
      <c r="IAH23"/>
      <c r="IAI23"/>
      <c r="IAJ23"/>
      <c r="IAK23"/>
      <c r="IAL23"/>
      <c r="IAM23"/>
      <c r="IAN23"/>
      <c r="IAO23"/>
      <c r="IAP23"/>
      <c r="IAQ23"/>
      <c r="IAR23"/>
      <c r="IAS23"/>
      <c r="IAT23"/>
      <c r="IAU23"/>
      <c r="IAV23"/>
      <c r="IAW23"/>
      <c r="IAX23"/>
      <c r="IAY23"/>
      <c r="IAZ23"/>
      <c r="IBA23"/>
      <c r="IBB23"/>
      <c r="IBC23"/>
      <c r="IBD23"/>
      <c r="IBE23"/>
      <c r="IBF23"/>
      <c r="IBG23"/>
      <c r="IBH23"/>
      <c r="IBI23"/>
      <c r="IBJ23"/>
      <c r="IBK23"/>
      <c r="IBL23"/>
      <c r="IBM23"/>
      <c r="IBN23"/>
      <c r="IBO23"/>
      <c r="IBP23"/>
      <c r="IBQ23"/>
      <c r="IBR23"/>
      <c r="IBS23"/>
      <c r="IBT23"/>
      <c r="IBU23"/>
      <c r="IBV23"/>
      <c r="IBW23"/>
      <c r="IBX23"/>
      <c r="IBY23"/>
      <c r="IBZ23"/>
      <c r="ICA23"/>
      <c r="ICB23"/>
      <c r="ICC23"/>
      <c r="ICD23"/>
      <c r="ICE23"/>
      <c r="ICF23"/>
      <c r="ICG23"/>
      <c r="ICH23"/>
      <c r="ICI23"/>
      <c r="ICJ23"/>
      <c r="ICK23"/>
      <c r="ICL23"/>
      <c r="ICM23"/>
      <c r="ICN23"/>
      <c r="ICO23"/>
      <c r="ICP23"/>
      <c r="ICQ23"/>
      <c r="ICR23"/>
      <c r="ICS23"/>
      <c r="ICT23"/>
      <c r="ICU23"/>
      <c r="ICV23"/>
      <c r="ICW23"/>
      <c r="ICX23"/>
      <c r="ICY23"/>
      <c r="ICZ23"/>
      <c r="IDA23"/>
      <c r="IDB23"/>
      <c r="IDC23"/>
      <c r="IDD23"/>
      <c r="IDE23"/>
      <c r="IDF23"/>
      <c r="IDG23"/>
      <c r="IDH23"/>
      <c r="IDI23"/>
      <c r="IDJ23"/>
      <c r="IDK23"/>
      <c r="IDL23"/>
      <c r="IDM23"/>
      <c r="IDN23"/>
      <c r="IDO23"/>
      <c r="IDP23"/>
      <c r="IDQ23"/>
      <c r="IDR23"/>
      <c r="IDS23"/>
      <c r="IDT23"/>
      <c r="IDU23"/>
      <c r="IDV23"/>
      <c r="IDW23"/>
      <c r="IDX23"/>
      <c r="IDY23"/>
      <c r="IDZ23"/>
      <c r="IEA23"/>
      <c r="IEB23"/>
      <c r="IEC23"/>
      <c r="IED23"/>
      <c r="IEE23"/>
      <c r="IEF23"/>
      <c r="IEG23"/>
      <c r="IEH23"/>
      <c r="IEI23"/>
      <c r="IEJ23"/>
      <c r="IEK23"/>
      <c r="IEL23"/>
      <c r="IEM23"/>
      <c r="IEN23"/>
      <c r="IEO23"/>
      <c r="IEP23"/>
      <c r="IEQ23"/>
      <c r="IER23"/>
      <c r="IES23"/>
      <c r="IET23"/>
      <c r="IEU23"/>
      <c r="IEV23"/>
      <c r="IEW23"/>
      <c r="IEX23"/>
      <c r="IEY23"/>
      <c r="IEZ23"/>
      <c r="IFA23"/>
      <c r="IFB23"/>
      <c r="IFC23"/>
      <c r="IFD23"/>
      <c r="IFE23"/>
      <c r="IFF23"/>
      <c r="IFG23"/>
      <c r="IFH23"/>
      <c r="IFI23"/>
      <c r="IFJ23"/>
      <c r="IFK23"/>
      <c r="IFL23"/>
      <c r="IFM23"/>
      <c r="IFN23"/>
      <c r="IFO23"/>
      <c r="IFP23"/>
      <c r="IFQ23"/>
      <c r="IFR23"/>
      <c r="IFS23"/>
      <c r="IFT23"/>
      <c r="IFU23"/>
      <c r="IFV23"/>
      <c r="IFW23"/>
      <c r="IFX23"/>
      <c r="IFY23"/>
      <c r="IFZ23"/>
      <c r="IGA23"/>
      <c r="IGB23"/>
      <c r="IGC23"/>
      <c r="IGD23"/>
      <c r="IGE23"/>
      <c r="IGF23"/>
      <c r="IGG23"/>
      <c r="IGH23"/>
      <c r="IGI23"/>
      <c r="IGJ23"/>
      <c r="IGK23"/>
      <c r="IGL23"/>
      <c r="IGM23"/>
      <c r="IGN23"/>
      <c r="IGO23"/>
      <c r="IGP23"/>
      <c r="IGQ23"/>
      <c r="IGR23"/>
      <c r="IGS23"/>
      <c r="IGT23"/>
      <c r="IGU23"/>
      <c r="IGV23"/>
      <c r="IGW23"/>
      <c r="IGX23"/>
      <c r="IGY23"/>
      <c r="IGZ23"/>
      <c r="IHA23"/>
      <c r="IHB23"/>
      <c r="IHC23"/>
      <c r="IHD23"/>
      <c r="IHE23"/>
      <c r="IHF23"/>
      <c r="IHG23"/>
      <c r="IHH23"/>
      <c r="IHI23"/>
      <c r="IHJ23"/>
      <c r="IHK23"/>
      <c r="IHL23"/>
      <c r="IHM23"/>
      <c r="IHN23"/>
      <c r="IHO23"/>
      <c r="IHP23"/>
      <c r="IHQ23"/>
      <c r="IHR23"/>
      <c r="IHS23"/>
      <c r="IHT23"/>
      <c r="IHU23"/>
      <c r="IHV23"/>
      <c r="IHW23"/>
      <c r="IHX23"/>
      <c r="IHY23"/>
      <c r="IHZ23"/>
      <c r="IIA23"/>
      <c r="IIB23"/>
      <c r="IIC23"/>
      <c r="IID23"/>
      <c r="IIE23"/>
      <c r="IIF23"/>
      <c r="IIG23"/>
      <c r="IIH23"/>
      <c r="III23"/>
      <c r="IIJ23"/>
      <c r="IIK23"/>
      <c r="IIL23"/>
      <c r="IIM23"/>
      <c r="IIN23"/>
      <c r="IIO23"/>
      <c r="IIP23"/>
      <c r="IIQ23"/>
      <c r="IIR23"/>
      <c r="IIS23"/>
      <c r="IIT23"/>
      <c r="IIU23"/>
      <c r="IIV23"/>
      <c r="IIW23"/>
      <c r="IIX23"/>
      <c r="IIY23"/>
      <c r="IIZ23"/>
      <c r="IJA23"/>
      <c r="IJB23"/>
      <c r="IJC23"/>
      <c r="IJD23"/>
      <c r="IJE23"/>
      <c r="IJF23"/>
      <c r="IJG23"/>
      <c r="IJH23"/>
      <c r="IJI23"/>
      <c r="IJJ23"/>
      <c r="IJK23"/>
      <c r="IJL23"/>
      <c r="IJM23"/>
      <c r="IJN23"/>
      <c r="IJO23"/>
      <c r="IJP23"/>
      <c r="IJQ23"/>
      <c r="IJR23"/>
      <c r="IJS23"/>
      <c r="IJT23"/>
      <c r="IJU23"/>
      <c r="IJV23"/>
      <c r="IJW23"/>
      <c r="IJX23"/>
      <c r="IJY23"/>
      <c r="IJZ23"/>
      <c r="IKA23"/>
      <c r="IKB23"/>
      <c r="IKC23"/>
      <c r="IKD23"/>
      <c r="IKE23"/>
      <c r="IKF23"/>
      <c r="IKG23"/>
      <c r="IKH23"/>
      <c r="IKI23"/>
      <c r="IKJ23"/>
      <c r="IKK23"/>
      <c r="IKL23"/>
      <c r="IKM23"/>
      <c r="IKN23"/>
      <c r="IKO23"/>
      <c r="IKP23"/>
      <c r="IKQ23"/>
      <c r="IKR23"/>
      <c r="IKS23"/>
      <c r="IKT23"/>
      <c r="IKU23"/>
      <c r="IKV23"/>
      <c r="IKW23"/>
      <c r="IKX23"/>
      <c r="IKY23"/>
      <c r="IKZ23"/>
      <c r="ILA23"/>
      <c r="ILB23"/>
      <c r="ILC23"/>
      <c r="ILD23"/>
      <c r="ILE23"/>
      <c r="ILF23"/>
      <c r="ILG23"/>
      <c r="ILH23"/>
      <c r="ILI23"/>
      <c r="ILJ23"/>
      <c r="ILK23"/>
      <c r="ILL23"/>
      <c r="ILM23"/>
      <c r="ILN23"/>
      <c r="ILO23"/>
      <c r="ILP23"/>
      <c r="ILQ23"/>
      <c r="ILR23"/>
      <c r="ILS23"/>
      <c r="ILT23"/>
      <c r="ILU23"/>
      <c r="ILV23"/>
      <c r="ILW23"/>
      <c r="ILX23"/>
      <c r="ILY23"/>
      <c r="ILZ23"/>
      <c r="IMA23"/>
      <c r="IMB23"/>
      <c r="IMC23"/>
      <c r="IMD23"/>
      <c r="IME23"/>
      <c r="IMF23"/>
      <c r="IMG23"/>
      <c r="IMH23"/>
      <c r="IMI23"/>
      <c r="IMJ23"/>
      <c r="IMK23"/>
      <c r="IML23"/>
      <c r="IMM23"/>
      <c r="IMN23"/>
      <c r="IMO23"/>
      <c r="IMP23"/>
      <c r="IMQ23"/>
      <c r="IMR23"/>
      <c r="IMS23"/>
      <c r="IMT23"/>
      <c r="IMU23"/>
      <c r="IMV23"/>
      <c r="IMW23"/>
      <c r="IMX23"/>
      <c r="IMY23"/>
      <c r="IMZ23"/>
      <c r="INA23"/>
      <c r="INB23"/>
      <c r="INC23"/>
      <c r="IND23"/>
      <c r="INE23"/>
      <c r="INF23"/>
      <c r="ING23"/>
      <c r="INH23"/>
      <c r="INI23"/>
      <c r="INJ23"/>
      <c r="INK23"/>
      <c r="INL23"/>
      <c r="INM23"/>
      <c r="INN23"/>
      <c r="INO23"/>
      <c r="INP23"/>
      <c r="INQ23"/>
      <c r="INR23"/>
      <c r="INS23"/>
      <c r="INT23"/>
      <c r="INU23"/>
      <c r="INV23"/>
      <c r="INW23"/>
      <c r="INX23"/>
      <c r="INY23"/>
      <c r="INZ23"/>
      <c r="IOA23"/>
      <c r="IOB23"/>
      <c r="IOC23"/>
      <c r="IOD23"/>
      <c r="IOE23"/>
      <c r="IOF23"/>
      <c r="IOG23"/>
      <c r="IOH23"/>
      <c r="IOI23"/>
      <c r="IOJ23"/>
      <c r="IOK23"/>
      <c r="IOL23"/>
      <c r="IOM23"/>
      <c r="ION23"/>
      <c r="IOO23"/>
      <c r="IOP23"/>
      <c r="IOQ23"/>
      <c r="IOR23"/>
      <c r="IOS23"/>
      <c r="IOT23"/>
      <c r="IOU23"/>
      <c r="IOV23"/>
      <c r="IOW23"/>
      <c r="IOX23"/>
      <c r="IOY23"/>
      <c r="IOZ23"/>
      <c r="IPA23"/>
      <c r="IPB23"/>
      <c r="IPC23"/>
      <c r="IPD23"/>
      <c r="IPE23"/>
      <c r="IPF23"/>
      <c r="IPG23"/>
      <c r="IPH23"/>
      <c r="IPI23"/>
      <c r="IPJ23"/>
      <c r="IPK23"/>
      <c r="IPL23"/>
      <c r="IPM23"/>
      <c r="IPN23"/>
      <c r="IPO23"/>
      <c r="IPP23"/>
      <c r="IPQ23"/>
      <c r="IPR23"/>
      <c r="IPS23"/>
      <c r="IPT23"/>
      <c r="IPU23"/>
      <c r="IPV23"/>
      <c r="IPW23"/>
      <c r="IPX23"/>
      <c r="IPY23"/>
      <c r="IPZ23"/>
      <c r="IQA23"/>
      <c r="IQB23"/>
      <c r="IQC23"/>
      <c r="IQD23"/>
      <c r="IQE23"/>
      <c r="IQF23"/>
      <c r="IQG23"/>
      <c r="IQH23"/>
      <c r="IQI23"/>
      <c r="IQJ23"/>
      <c r="IQK23"/>
      <c r="IQL23"/>
      <c r="IQM23"/>
      <c r="IQN23"/>
      <c r="IQO23"/>
      <c r="IQP23"/>
      <c r="IQQ23"/>
      <c r="IQR23"/>
      <c r="IQS23"/>
      <c r="IQT23"/>
      <c r="IQU23"/>
      <c r="IQV23"/>
      <c r="IQW23"/>
      <c r="IQX23"/>
      <c r="IQY23"/>
      <c r="IQZ23"/>
      <c r="IRA23"/>
      <c r="IRB23"/>
      <c r="IRC23"/>
      <c r="IRD23"/>
      <c r="IRE23"/>
      <c r="IRF23"/>
      <c r="IRG23"/>
      <c r="IRH23"/>
      <c r="IRI23"/>
      <c r="IRJ23"/>
      <c r="IRK23"/>
      <c r="IRL23"/>
      <c r="IRM23"/>
      <c r="IRN23"/>
      <c r="IRO23"/>
      <c r="IRP23"/>
      <c r="IRQ23"/>
      <c r="IRR23"/>
      <c r="IRS23"/>
      <c r="IRT23"/>
      <c r="IRU23"/>
      <c r="IRV23"/>
      <c r="IRW23"/>
      <c r="IRX23"/>
      <c r="IRY23"/>
      <c r="IRZ23"/>
      <c r="ISA23"/>
      <c r="ISB23"/>
      <c r="ISC23"/>
      <c r="ISD23"/>
      <c r="ISE23"/>
      <c r="ISF23"/>
      <c r="ISG23"/>
      <c r="ISH23"/>
      <c r="ISI23"/>
      <c r="ISJ23"/>
      <c r="ISK23"/>
      <c r="ISL23"/>
      <c r="ISM23"/>
      <c r="ISN23"/>
      <c r="ISO23"/>
      <c r="ISP23"/>
      <c r="ISQ23"/>
      <c r="ISR23"/>
      <c r="ISS23"/>
      <c r="IST23"/>
      <c r="ISU23"/>
      <c r="ISV23"/>
      <c r="ISW23"/>
      <c r="ISX23"/>
      <c r="ISY23"/>
      <c r="ISZ23"/>
      <c r="ITA23"/>
      <c r="ITB23"/>
      <c r="ITC23"/>
      <c r="ITD23"/>
      <c r="ITE23"/>
      <c r="ITF23"/>
      <c r="ITG23"/>
      <c r="ITH23"/>
      <c r="ITI23"/>
      <c r="ITJ23"/>
      <c r="ITK23"/>
      <c r="ITL23"/>
      <c r="ITM23"/>
      <c r="ITN23"/>
      <c r="ITO23"/>
      <c r="ITP23"/>
      <c r="ITQ23"/>
      <c r="ITR23"/>
      <c r="ITS23"/>
      <c r="ITT23"/>
      <c r="ITU23"/>
      <c r="ITV23"/>
      <c r="ITW23"/>
      <c r="ITX23"/>
      <c r="ITY23"/>
      <c r="ITZ23"/>
      <c r="IUA23"/>
      <c r="IUB23"/>
      <c r="IUC23"/>
      <c r="IUD23"/>
      <c r="IUE23"/>
      <c r="IUF23"/>
      <c r="IUG23"/>
      <c r="IUH23"/>
      <c r="IUI23"/>
      <c r="IUJ23"/>
      <c r="IUK23"/>
      <c r="IUL23"/>
      <c r="IUM23"/>
      <c r="IUN23"/>
      <c r="IUO23"/>
      <c r="IUP23"/>
      <c r="IUQ23"/>
      <c r="IUR23"/>
      <c r="IUS23"/>
      <c r="IUT23"/>
      <c r="IUU23"/>
      <c r="IUV23"/>
      <c r="IUW23"/>
      <c r="IUX23"/>
      <c r="IUY23"/>
      <c r="IUZ23"/>
      <c r="IVA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JDX23"/>
      <c r="JDY23"/>
      <c r="JDZ23"/>
      <c r="JEA23"/>
      <c r="JEB23"/>
      <c r="JEC23"/>
      <c r="JED23"/>
      <c r="JEE23"/>
      <c r="JEF23"/>
      <c r="JEG23"/>
      <c r="JEH23"/>
      <c r="JEI23"/>
      <c r="JEJ23"/>
      <c r="JEK23"/>
      <c r="JEL23"/>
      <c r="JEM23"/>
      <c r="JEN23"/>
      <c r="JEO23"/>
      <c r="JEP23"/>
      <c r="JEQ23"/>
      <c r="JER23"/>
      <c r="JES23"/>
      <c r="JET23"/>
      <c r="JEU23"/>
      <c r="JEV23"/>
      <c r="JEW23"/>
      <c r="JEX23"/>
      <c r="JEY23"/>
      <c r="JEZ23"/>
      <c r="JFA23"/>
      <c r="JFB23"/>
      <c r="JFC23"/>
      <c r="JFD23"/>
      <c r="JFE23"/>
      <c r="JFF23"/>
      <c r="JFG23"/>
      <c r="JFH23"/>
      <c r="JFI23"/>
      <c r="JFJ23"/>
      <c r="JFK23"/>
      <c r="JFL23"/>
      <c r="JFM23"/>
      <c r="JFN23"/>
      <c r="JFO23"/>
      <c r="JFP23"/>
      <c r="JFQ23"/>
      <c r="JFR23"/>
      <c r="JFS23"/>
      <c r="JFT23"/>
      <c r="JFU23"/>
      <c r="JFV23"/>
      <c r="JFW23"/>
      <c r="JFX23"/>
      <c r="JFY23"/>
      <c r="JFZ23"/>
      <c r="JGA23"/>
      <c r="JGB23"/>
      <c r="JGC23"/>
      <c r="JGD23"/>
      <c r="JGE23"/>
      <c r="JGF23"/>
      <c r="JGG23"/>
      <c r="JGH23"/>
      <c r="JGI23"/>
      <c r="JGJ23"/>
      <c r="JGK23"/>
      <c r="JGL23"/>
      <c r="JGM23"/>
      <c r="JGN23"/>
      <c r="JGO23"/>
      <c r="JGP23"/>
      <c r="JGQ23"/>
      <c r="JGR23"/>
      <c r="JGS23"/>
      <c r="JGT23"/>
      <c r="JGU23"/>
      <c r="JGV23"/>
      <c r="JGW23"/>
      <c r="JGX23"/>
      <c r="JGY23"/>
      <c r="JGZ23"/>
      <c r="JHA23"/>
      <c r="JHB23"/>
      <c r="JHC23"/>
      <c r="JHD23"/>
      <c r="JHE23"/>
      <c r="JHF23"/>
      <c r="JHG23"/>
      <c r="JHH23"/>
      <c r="JHI23"/>
      <c r="JHJ23"/>
      <c r="JHK23"/>
      <c r="JHL23"/>
      <c r="JHM23"/>
      <c r="JHN23"/>
      <c r="JHO23"/>
      <c r="JHP23"/>
      <c r="JHQ23"/>
      <c r="JHR23"/>
      <c r="JHS23"/>
      <c r="JHT23"/>
      <c r="JHU23"/>
      <c r="JHV23"/>
      <c r="JHW23"/>
      <c r="JHX23"/>
      <c r="JHY23"/>
      <c r="JHZ23"/>
      <c r="JIA23"/>
      <c r="JIB23"/>
      <c r="JIC23"/>
      <c r="JID23"/>
      <c r="JIE23"/>
      <c r="JIF23"/>
      <c r="JIG23"/>
      <c r="JIH23"/>
      <c r="JII23"/>
      <c r="JIJ23"/>
      <c r="JIK23"/>
      <c r="JIL23"/>
      <c r="JIM23"/>
      <c r="JIN23"/>
      <c r="JIO23"/>
      <c r="JIP23"/>
      <c r="JIQ23"/>
      <c r="JIR23"/>
      <c r="JIS23"/>
      <c r="JIT23"/>
      <c r="JIU23"/>
      <c r="JIV23"/>
      <c r="JIW23"/>
      <c r="JIX23"/>
      <c r="JIY23"/>
      <c r="JIZ23"/>
      <c r="JJA23"/>
      <c r="JJB23"/>
      <c r="JJC23"/>
      <c r="JJD23"/>
      <c r="JJE23"/>
      <c r="JJF23"/>
      <c r="JJG23"/>
      <c r="JJH23"/>
      <c r="JJI23"/>
      <c r="JJJ23"/>
      <c r="JJK23"/>
      <c r="JJL23"/>
      <c r="JJM23"/>
      <c r="JJN23"/>
      <c r="JJO23"/>
      <c r="JJP23"/>
      <c r="JJQ23"/>
      <c r="JJR23"/>
      <c r="JJS23"/>
      <c r="JJT23"/>
      <c r="JJU23"/>
      <c r="JJV23"/>
      <c r="JJW23"/>
      <c r="JJX23"/>
      <c r="JJY23"/>
      <c r="JJZ23"/>
      <c r="JKA23"/>
      <c r="JKB23"/>
      <c r="JKC23"/>
      <c r="JKD23"/>
      <c r="JKE23"/>
      <c r="JKF23"/>
      <c r="JKG23"/>
      <c r="JKH23"/>
      <c r="JKI23"/>
      <c r="JKJ23"/>
      <c r="JKK23"/>
      <c r="JKL23"/>
      <c r="JKM23"/>
      <c r="JKN23"/>
      <c r="JKO23"/>
      <c r="JKP23"/>
      <c r="JKQ23"/>
      <c r="JKR23"/>
      <c r="JKS23"/>
      <c r="JKT23"/>
      <c r="JKU23"/>
      <c r="JKV23"/>
      <c r="JKW23"/>
      <c r="JKX23"/>
      <c r="JKY23"/>
      <c r="JKZ23"/>
      <c r="JLA23"/>
      <c r="JLB23"/>
      <c r="JLC23"/>
      <c r="JLD23"/>
      <c r="JLE23"/>
      <c r="JLF23"/>
      <c r="JLG23"/>
      <c r="JLH23"/>
      <c r="JLI23"/>
      <c r="JLJ23"/>
      <c r="JLK23"/>
      <c r="JLL23"/>
      <c r="JLM23"/>
      <c r="JLN23"/>
      <c r="JLO23"/>
      <c r="JLP23"/>
      <c r="JLQ23"/>
      <c r="JLR23"/>
      <c r="JLS23"/>
      <c r="JLT23"/>
      <c r="JLU23"/>
      <c r="JLV23"/>
      <c r="JLW23"/>
      <c r="JLX23"/>
      <c r="JLY23"/>
      <c r="JLZ23"/>
      <c r="JMA23"/>
      <c r="JMB23"/>
      <c r="JMC23"/>
      <c r="JMD23"/>
      <c r="JME23"/>
      <c r="JMF23"/>
      <c r="JMG23"/>
      <c r="JMH23"/>
      <c r="JMI23"/>
      <c r="JMJ23"/>
      <c r="JMK23"/>
      <c r="JML23"/>
      <c r="JMM23"/>
      <c r="JMN23"/>
      <c r="JMO23"/>
      <c r="JMP23"/>
      <c r="JMQ23"/>
      <c r="JMR23"/>
      <c r="JMS23"/>
      <c r="JMT23"/>
      <c r="JMU23"/>
      <c r="JMV23"/>
      <c r="JMW23"/>
      <c r="JMX23"/>
      <c r="JMY23"/>
      <c r="JMZ23"/>
      <c r="JNA23"/>
      <c r="JNB23"/>
      <c r="JNC23"/>
      <c r="JND23"/>
      <c r="JNE23"/>
      <c r="JNF23"/>
      <c r="JNG23"/>
      <c r="JNH23"/>
      <c r="JNI23"/>
      <c r="JNJ23"/>
      <c r="JNK23"/>
      <c r="JNL23"/>
      <c r="JNM23"/>
      <c r="JNN23"/>
      <c r="JNO23"/>
      <c r="JNP23"/>
      <c r="JNQ23"/>
      <c r="JNR23"/>
      <c r="JNS23"/>
      <c r="JNT23"/>
      <c r="JNU23"/>
      <c r="JNV23"/>
      <c r="JNW23"/>
      <c r="JNX23"/>
      <c r="JNY23"/>
      <c r="JNZ23"/>
      <c r="JOA23"/>
      <c r="JOB23"/>
      <c r="JOC23"/>
      <c r="JOD23"/>
      <c r="JOE23"/>
      <c r="JOF23"/>
      <c r="JOG23"/>
      <c r="JOH23"/>
      <c r="JOI23"/>
      <c r="JOJ23"/>
      <c r="JOK23"/>
      <c r="JOL23"/>
      <c r="JOM23"/>
      <c r="JON23"/>
      <c r="JOO23"/>
      <c r="JOP23"/>
      <c r="JOQ23"/>
      <c r="JOR23"/>
      <c r="JOS23"/>
      <c r="JOT23"/>
      <c r="JOU23"/>
      <c r="JOV23"/>
      <c r="JOW23"/>
      <c r="JOX23"/>
      <c r="JOY23"/>
      <c r="JOZ23"/>
      <c r="JPA23"/>
      <c r="JPB23"/>
      <c r="JPC23"/>
      <c r="JPD23"/>
      <c r="JPE23"/>
      <c r="JPF23"/>
      <c r="JPG23"/>
      <c r="JPH23"/>
      <c r="JPI23"/>
      <c r="JPJ23"/>
      <c r="JPK23"/>
      <c r="JPL23"/>
      <c r="JPM23"/>
      <c r="JPN23"/>
      <c r="JPO23"/>
      <c r="JPP23"/>
      <c r="JPQ23"/>
      <c r="JPR23"/>
      <c r="JPS23"/>
      <c r="JPT23"/>
      <c r="JPU23"/>
      <c r="JPV23"/>
      <c r="JPW23"/>
      <c r="JPX23"/>
      <c r="JPY23"/>
      <c r="JPZ23"/>
      <c r="JQA23"/>
      <c r="JQB23"/>
      <c r="JQC23"/>
      <c r="JQD23"/>
      <c r="JQE23"/>
      <c r="JQF23"/>
      <c r="JQG23"/>
      <c r="JQH23"/>
      <c r="JQI23"/>
      <c r="JQJ23"/>
      <c r="JQK23"/>
      <c r="JQL23"/>
      <c r="JQM23"/>
      <c r="JQN23"/>
      <c r="JQO23"/>
      <c r="JQP23"/>
      <c r="JQQ23"/>
      <c r="JQR23"/>
      <c r="JQS23"/>
      <c r="JQT23"/>
      <c r="JQU23"/>
      <c r="JQV23"/>
      <c r="JQW23"/>
      <c r="JQX23"/>
      <c r="JQY23"/>
      <c r="JQZ23"/>
      <c r="JRA23"/>
      <c r="JRB23"/>
      <c r="JRC23"/>
      <c r="JRD23"/>
      <c r="JRE23"/>
      <c r="JRF23"/>
      <c r="JRG23"/>
      <c r="JRH23"/>
      <c r="JRI23"/>
      <c r="JRJ23"/>
      <c r="JRK23"/>
      <c r="JRL23"/>
      <c r="JRM23"/>
      <c r="JRN23"/>
      <c r="JRO23"/>
      <c r="JRP23"/>
      <c r="JRQ23"/>
      <c r="JRR23"/>
      <c r="JRS23"/>
      <c r="JRT23"/>
      <c r="JRU23"/>
      <c r="JRV23"/>
      <c r="JRW23"/>
      <c r="JRX23"/>
      <c r="JRY23"/>
      <c r="JRZ23"/>
      <c r="JSA23"/>
      <c r="JSB23"/>
      <c r="JSC23"/>
      <c r="JSD23"/>
      <c r="JSE23"/>
      <c r="JSF23"/>
      <c r="JSG23"/>
      <c r="JSH23"/>
      <c r="JSI23"/>
      <c r="JSJ23"/>
      <c r="JSK23"/>
      <c r="JSL23"/>
      <c r="JSM23"/>
      <c r="JSN23"/>
      <c r="JSO23"/>
      <c r="JSP23"/>
      <c r="JSQ23"/>
      <c r="JSR23"/>
      <c r="JSS23"/>
      <c r="JST23"/>
      <c r="JSU23"/>
      <c r="JSV23"/>
      <c r="JSW23"/>
      <c r="JSX23"/>
      <c r="JSY23"/>
      <c r="JSZ23"/>
      <c r="JTA23"/>
      <c r="JTB23"/>
      <c r="JTC23"/>
      <c r="JTD23"/>
      <c r="JTE23"/>
      <c r="JTF23"/>
      <c r="JTG23"/>
      <c r="JTH23"/>
      <c r="JTI23"/>
      <c r="JTJ23"/>
      <c r="JTK23"/>
      <c r="JTL23"/>
      <c r="JTM23"/>
      <c r="JTN23"/>
      <c r="JTO23"/>
      <c r="JTP23"/>
      <c r="JTQ23"/>
      <c r="JTR23"/>
      <c r="JTS23"/>
      <c r="JTT23"/>
      <c r="JTU23"/>
      <c r="JTV23"/>
      <c r="JTW23"/>
      <c r="JTX23"/>
      <c r="JTY23"/>
      <c r="JTZ23"/>
      <c r="JUA23"/>
      <c r="JUB23"/>
      <c r="JUC23"/>
      <c r="JUD23"/>
      <c r="JUE23"/>
      <c r="JUF23"/>
      <c r="JUG23"/>
      <c r="JUH23"/>
      <c r="JUI23"/>
      <c r="JUJ23"/>
      <c r="JUK23"/>
      <c r="JUL23"/>
      <c r="JUM23"/>
      <c r="JUN23"/>
      <c r="JUO23"/>
      <c r="JUP23"/>
      <c r="JUQ23"/>
      <c r="JUR23"/>
      <c r="JUS23"/>
      <c r="JUT23"/>
      <c r="JUU23"/>
      <c r="JUV23"/>
      <c r="JUW23"/>
      <c r="JUX23"/>
      <c r="JUY23"/>
      <c r="JUZ23"/>
      <c r="JVA23"/>
      <c r="JVB23"/>
      <c r="JVC23"/>
      <c r="JVD23"/>
      <c r="JVE23"/>
      <c r="JVF23"/>
      <c r="JVG23"/>
      <c r="JVH23"/>
      <c r="JVI23"/>
      <c r="JVJ23"/>
      <c r="JVK23"/>
      <c r="JVL23"/>
      <c r="JVM23"/>
      <c r="JVN23"/>
      <c r="JVO23"/>
      <c r="JVP23"/>
      <c r="JVQ23"/>
      <c r="JVR23"/>
      <c r="JVS23"/>
      <c r="JVT23"/>
      <c r="JVU23"/>
      <c r="JVV23"/>
      <c r="JVW23"/>
      <c r="JVX23"/>
      <c r="JVY23"/>
      <c r="JVZ23"/>
      <c r="JWA23"/>
      <c r="JWB23"/>
      <c r="JWC23"/>
      <c r="JWD23"/>
      <c r="JWE23"/>
      <c r="JWF23"/>
      <c r="JWG23"/>
      <c r="JWH23"/>
      <c r="JWI23"/>
      <c r="JWJ23"/>
      <c r="JWK23"/>
      <c r="JWL23"/>
      <c r="JWM23"/>
      <c r="JWN23"/>
      <c r="JWO23"/>
      <c r="JWP23"/>
      <c r="JWQ23"/>
      <c r="JWR23"/>
      <c r="JWS23"/>
      <c r="JWT23"/>
      <c r="JWU23"/>
      <c r="JWV23"/>
      <c r="JWW23"/>
      <c r="JWX23"/>
      <c r="JWY23"/>
      <c r="JWZ23"/>
      <c r="JXA23"/>
      <c r="JXB23"/>
      <c r="JXC23"/>
      <c r="JXD23"/>
      <c r="JXE23"/>
      <c r="JXF23"/>
      <c r="JXG23"/>
      <c r="JXH23"/>
      <c r="JXI23"/>
      <c r="JXJ23"/>
      <c r="JXK23"/>
      <c r="JXL23"/>
      <c r="JXM23"/>
      <c r="JXN23"/>
      <c r="JXO23"/>
      <c r="JXP23"/>
      <c r="JXQ23"/>
      <c r="JXR23"/>
      <c r="JXS23"/>
      <c r="JXT23"/>
      <c r="JXU23"/>
      <c r="JXV23"/>
      <c r="JXW23"/>
      <c r="JXX23"/>
      <c r="JXY23"/>
      <c r="JXZ23"/>
      <c r="JYA23"/>
      <c r="JYB23"/>
      <c r="JYC23"/>
      <c r="JYD23"/>
      <c r="JYE23"/>
      <c r="JYF23"/>
      <c r="JYG23"/>
      <c r="JYH23"/>
      <c r="JYI23"/>
      <c r="JYJ23"/>
      <c r="JYK23"/>
      <c r="JYL23"/>
      <c r="JYM23"/>
      <c r="JYN23"/>
      <c r="JYO23"/>
      <c r="JYP23"/>
      <c r="JYQ23"/>
      <c r="JYR23"/>
      <c r="JYS23"/>
      <c r="JYT23"/>
      <c r="JYU23"/>
      <c r="JYV23"/>
      <c r="JYW23"/>
      <c r="JYX23"/>
      <c r="JYY23"/>
      <c r="JYZ23"/>
      <c r="JZA23"/>
      <c r="JZB23"/>
      <c r="JZC23"/>
      <c r="JZD23"/>
      <c r="JZE23"/>
      <c r="JZF23"/>
      <c r="JZG23"/>
      <c r="JZH23"/>
      <c r="JZI23"/>
      <c r="JZJ23"/>
      <c r="JZK23"/>
      <c r="JZL23"/>
      <c r="JZM23"/>
      <c r="JZN23"/>
      <c r="JZO23"/>
      <c r="JZP23"/>
      <c r="JZQ23"/>
      <c r="JZR23"/>
      <c r="JZS23"/>
      <c r="JZT23"/>
      <c r="JZU23"/>
      <c r="JZV23"/>
      <c r="JZW23"/>
      <c r="JZX23"/>
      <c r="JZY23"/>
      <c r="JZZ23"/>
      <c r="KAA23"/>
      <c r="KAB23"/>
      <c r="KAC23"/>
      <c r="KAD23"/>
      <c r="KAE23"/>
      <c r="KAF23"/>
      <c r="KAG23"/>
      <c r="KAH23"/>
      <c r="KAI23"/>
      <c r="KAJ23"/>
      <c r="KAK23"/>
      <c r="KAL23"/>
      <c r="KAM23"/>
      <c r="KAN23"/>
      <c r="KAO23"/>
      <c r="KAP23"/>
      <c r="KAQ23"/>
      <c r="KAR23"/>
      <c r="KAS23"/>
      <c r="KAT23"/>
      <c r="KAU23"/>
      <c r="KAV23"/>
      <c r="KAW23"/>
      <c r="KAX23"/>
      <c r="KAY23"/>
      <c r="KAZ23"/>
      <c r="KBA23"/>
      <c r="KBB23"/>
      <c r="KBC23"/>
      <c r="KBD23"/>
      <c r="KBE23"/>
      <c r="KBF23"/>
      <c r="KBG23"/>
      <c r="KBH23"/>
      <c r="KBI23"/>
      <c r="KBJ23"/>
      <c r="KBK23"/>
      <c r="KBL23"/>
      <c r="KBM23"/>
      <c r="KBN23"/>
      <c r="KBO23"/>
      <c r="KBP23"/>
      <c r="KBQ23"/>
      <c r="KBR23"/>
      <c r="KBS23"/>
      <c r="KBT23"/>
      <c r="KBU23"/>
      <c r="KBV23"/>
      <c r="KBW23"/>
      <c r="KBX23"/>
      <c r="KBY23"/>
      <c r="KBZ23"/>
      <c r="KCA23"/>
      <c r="KCB23"/>
      <c r="KCC23"/>
      <c r="KCD23"/>
      <c r="KCE23"/>
      <c r="KCF23"/>
      <c r="KCG23"/>
      <c r="KCH23"/>
      <c r="KCI23"/>
      <c r="KCJ23"/>
      <c r="KCK23"/>
      <c r="KCL23"/>
      <c r="KCM23"/>
      <c r="KCN23"/>
      <c r="KCO23"/>
      <c r="KCP23"/>
      <c r="KCQ23"/>
      <c r="KCR23"/>
      <c r="KCS23"/>
      <c r="KCT23"/>
      <c r="KCU23"/>
      <c r="KCV23"/>
      <c r="KCW23"/>
      <c r="KCX23"/>
      <c r="KCY23"/>
      <c r="KCZ23"/>
      <c r="KDA23"/>
      <c r="KDB23"/>
      <c r="KDC23"/>
      <c r="KDD23"/>
      <c r="KDE23"/>
      <c r="KDF23"/>
      <c r="KDG23"/>
      <c r="KDH23"/>
      <c r="KDI23"/>
      <c r="KDJ23"/>
      <c r="KDK23"/>
      <c r="KDL23"/>
      <c r="KDM23"/>
      <c r="KDN23"/>
      <c r="KDO23"/>
      <c r="KDP23"/>
      <c r="KDQ23"/>
      <c r="KDR23"/>
      <c r="KDS23"/>
      <c r="KDT23"/>
      <c r="KDU23"/>
      <c r="KDV23"/>
      <c r="KDW23"/>
      <c r="KDX23"/>
      <c r="KDY23"/>
      <c r="KDZ23"/>
      <c r="KEA23"/>
      <c r="KEB23"/>
      <c r="KEC23"/>
      <c r="KED23"/>
      <c r="KEE23"/>
      <c r="KEF23"/>
      <c r="KEG23"/>
      <c r="KEH23"/>
      <c r="KEI23"/>
      <c r="KEJ23"/>
      <c r="KEK23"/>
      <c r="KEL23"/>
      <c r="KEM23"/>
      <c r="KEN23"/>
      <c r="KEO23"/>
      <c r="KEP23"/>
      <c r="KEQ23"/>
      <c r="KER23"/>
      <c r="KES23"/>
      <c r="KET23"/>
      <c r="KEU23"/>
      <c r="KEV23"/>
      <c r="KEW23"/>
      <c r="KEX23"/>
      <c r="KEY23"/>
      <c r="KEZ23"/>
      <c r="KFA23"/>
      <c r="KFB23"/>
      <c r="KFC23"/>
      <c r="KFD23"/>
      <c r="KFE23"/>
      <c r="KFF23"/>
      <c r="KFG23"/>
      <c r="KFH23"/>
      <c r="KFI23"/>
      <c r="KFJ23"/>
      <c r="KFK23"/>
      <c r="KFL23"/>
      <c r="KFM23"/>
      <c r="KFN23"/>
      <c r="KFO23"/>
      <c r="KFP23"/>
      <c r="KFQ23"/>
      <c r="KFR23"/>
      <c r="KFS23"/>
      <c r="KFT23"/>
      <c r="KFU23"/>
      <c r="KFV23"/>
      <c r="KFW23"/>
      <c r="KFX23"/>
      <c r="KFY23"/>
      <c r="KFZ23"/>
      <c r="KGA23"/>
      <c r="KGB23"/>
      <c r="KGC23"/>
      <c r="KGD23"/>
      <c r="KGE23"/>
      <c r="KGF23"/>
      <c r="KGG23"/>
      <c r="KGH23"/>
      <c r="KGI23"/>
      <c r="KGJ23"/>
      <c r="KGK23"/>
      <c r="KGL23"/>
      <c r="KGM23"/>
      <c r="KGN23"/>
      <c r="KGO23"/>
      <c r="KGP23"/>
      <c r="KGQ23"/>
      <c r="KGR23"/>
      <c r="KGS23"/>
      <c r="KGT23"/>
      <c r="KGU23"/>
      <c r="KGV23"/>
      <c r="KGW23"/>
      <c r="KGX23"/>
      <c r="KGY23"/>
      <c r="KGZ23"/>
      <c r="KHA23"/>
      <c r="KHB23"/>
      <c r="KHC23"/>
      <c r="KHD23"/>
      <c r="KHE23"/>
      <c r="KHF23"/>
      <c r="KHG23"/>
      <c r="KHH23"/>
      <c r="KHI23"/>
      <c r="KHJ23"/>
      <c r="KHK23"/>
      <c r="KHL23"/>
      <c r="KHM23"/>
      <c r="KHN23"/>
      <c r="KHO23"/>
      <c r="KHP23"/>
      <c r="KHQ23"/>
      <c r="KHR23"/>
      <c r="KHS23"/>
      <c r="KHT23"/>
      <c r="KHU23"/>
      <c r="KHV23"/>
      <c r="KHW23"/>
      <c r="KHX23"/>
      <c r="KHY23"/>
      <c r="KHZ23"/>
      <c r="KIA23"/>
      <c r="KIB23"/>
      <c r="KIC23"/>
      <c r="KID23"/>
      <c r="KIE23"/>
      <c r="KIF23"/>
      <c r="KIG23"/>
      <c r="KIH23"/>
      <c r="KII23"/>
      <c r="KIJ23"/>
      <c r="KIK23"/>
      <c r="KIL23"/>
      <c r="KIM23"/>
      <c r="KIN23"/>
      <c r="KIO23"/>
      <c r="KIP23"/>
      <c r="KIQ23"/>
      <c r="KIR23"/>
      <c r="KIS23"/>
      <c r="KIT23"/>
      <c r="KIU23"/>
      <c r="KIV23"/>
      <c r="KIW23"/>
      <c r="KIX23"/>
      <c r="KIY23"/>
      <c r="KIZ23"/>
      <c r="KJA23"/>
      <c r="KJB23"/>
      <c r="KJC23"/>
      <c r="KJD23"/>
      <c r="KJE23"/>
      <c r="KJF23"/>
      <c r="KJG23"/>
      <c r="KJH23"/>
      <c r="KJI23"/>
      <c r="KJJ23"/>
      <c r="KJK23"/>
      <c r="KJL23"/>
      <c r="KJM23"/>
      <c r="KJN23"/>
      <c r="KJO23"/>
      <c r="KJP23"/>
      <c r="KJQ23"/>
      <c r="KJR23"/>
      <c r="KJS23"/>
      <c r="KJT23"/>
      <c r="KJU23"/>
      <c r="KJV23"/>
      <c r="KJW23"/>
      <c r="KJX23"/>
      <c r="KJY23"/>
      <c r="KJZ23"/>
      <c r="KKA23"/>
      <c r="KKB23"/>
      <c r="KKC23"/>
      <c r="KKD23"/>
      <c r="KKE23"/>
      <c r="KKF23"/>
      <c r="KKG23"/>
      <c r="KKH23"/>
      <c r="KKI23"/>
      <c r="KKJ23"/>
      <c r="KKK23"/>
      <c r="KKL23"/>
      <c r="KKM23"/>
      <c r="KKN23"/>
      <c r="KKO23"/>
      <c r="KKP23"/>
      <c r="KKQ23"/>
      <c r="KKR23"/>
      <c r="KKS23"/>
      <c r="KKT23"/>
      <c r="KKU23"/>
      <c r="KKV23"/>
      <c r="KKW23"/>
      <c r="KKX23"/>
      <c r="KKY23"/>
      <c r="KKZ23"/>
      <c r="KLA23"/>
      <c r="KLB23"/>
      <c r="KLC23"/>
      <c r="KLD23"/>
      <c r="KLE23"/>
      <c r="KLF23"/>
      <c r="KLG23"/>
      <c r="KLH23"/>
      <c r="KLI23"/>
      <c r="KLJ23"/>
      <c r="KLK23"/>
      <c r="KLL23"/>
      <c r="KLM23"/>
      <c r="KLN23"/>
      <c r="KLO23"/>
      <c r="KLP23"/>
      <c r="KLQ23"/>
      <c r="KLR23"/>
      <c r="KLS23"/>
      <c r="KLT23"/>
      <c r="KLU23"/>
      <c r="KLV23"/>
      <c r="KLW23"/>
      <c r="KLX23"/>
      <c r="KLY23"/>
      <c r="KLZ23"/>
      <c r="KMA23"/>
      <c r="KMB23"/>
      <c r="KMC23"/>
      <c r="KMD23"/>
      <c r="KME23"/>
      <c r="KMF23"/>
      <c r="KMG23"/>
      <c r="KMH23"/>
      <c r="KMI23"/>
      <c r="KMJ23"/>
      <c r="KMK23"/>
      <c r="KML23"/>
      <c r="KMM23"/>
      <c r="KMN23"/>
      <c r="KMO23"/>
      <c r="KMP23"/>
      <c r="KMQ23"/>
      <c r="KMR23"/>
      <c r="KMS23"/>
      <c r="KMT23"/>
      <c r="KMU23"/>
      <c r="KMV23"/>
      <c r="KMW23"/>
      <c r="KMX23"/>
      <c r="KMY23"/>
      <c r="KMZ23"/>
      <c r="KNA23"/>
      <c r="KNB23"/>
      <c r="KNC23"/>
      <c r="KND23"/>
      <c r="KNE23"/>
      <c r="KNF23"/>
      <c r="KNG23"/>
      <c r="KNH23"/>
      <c r="KNI23"/>
      <c r="KNJ23"/>
      <c r="KNK23"/>
      <c r="KNL23"/>
      <c r="KNM23"/>
      <c r="KNN23"/>
      <c r="KNO23"/>
      <c r="KNP23"/>
      <c r="KNQ23"/>
      <c r="KNR23"/>
      <c r="KNS23"/>
      <c r="KNT23"/>
      <c r="KNU23"/>
      <c r="KNV23"/>
      <c r="KNW23"/>
      <c r="KNX23"/>
      <c r="KNY23"/>
      <c r="KNZ23"/>
      <c r="KOA23"/>
      <c r="KOB23"/>
      <c r="KOC23"/>
      <c r="KOD23"/>
      <c r="KOE23"/>
      <c r="KOF23"/>
      <c r="KOG23"/>
      <c r="KOH23"/>
      <c r="KOI23"/>
      <c r="KOJ23"/>
      <c r="KOK23"/>
      <c r="KOL23"/>
      <c r="KOM23"/>
      <c r="KON23"/>
      <c r="KOO23"/>
      <c r="KOP23"/>
      <c r="KOQ23"/>
      <c r="KOR23"/>
      <c r="KOS23"/>
      <c r="KOT23"/>
      <c r="KOU23"/>
      <c r="KOV23"/>
      <c r="KOW23"/>
      <c r="KOX23"/>
      <c r="KOY23"/>
      <c r="KOZ23"/>
      <c r="KPA23"/>
      <c r="KPB23"/>
      <c r="KPC23"/>
      <c r="KPD23"/>
      <c r="KPE23"/>
      <c r="KPF23"/>
      <c r="KPG23"/>
      <c r="KPH23"/>
      <c r="KPI23"/>
      <c r="KPJ23"/>
      <c r="KPK23"/>
      <c r="KPL23"/>
      <c r="KPM23"/>
      <c r="KPN23"/>
      <c r="KPO23"/>
      <c r="KPP23"/>
      <c r="KPQ23"/>
      <c r="KPR23"/>
      <c r="KPS23"/>
      <c r="KPT23"/>
      <c r="KPU23"/>
      <c r="KPV23"/>
      <c r="KPW23"/>
      <c r="KPX23"/>
      <c r="KPY23"/>
      <c r="KPZ23"/>
      <c r="KQA23"/>
      <c r="KQB23"/>
      <c r="KQC23"/>
      <c r="KQD23"/>
      <c r="KQE23"/>
      <c r="KQF23"/>
      <c r="KQG23"/>
      <c r="KQH23"/>
      <c r="KQI23"/>
      <c r="KQJ23"/>
      <c r="KQK23"/>
      <c r="KQL23"/>
      <c r="KQM23"/>
      <c r="KQN23"/>
      <c r="KQO23"/>
      <c r="KQP23"/>
      <c r="KQQ23"/>
      <c r="KQR23"/>
      <c r="KQS23"/>
      <c r="KQT23"/>
      <c r="KQU23"/>
      <c r="KQV23"/>
      <c r="KQW23"/>
      <c r="KQX23"/>
      <c r="KQY23"/>
      <c r="KQZ23"/>
      <c r="KRA23"/>
      <c r="KRB23"/>
      <c r="KRC23"/>
      <c r="KRD23"/>
      <c r="KRE23"/>
      <c r="KRF23"/>
      <c r="KRG23"/>
      <c r="KRH23"/>
      <c r="KRI23"/>
      <c r="KRJ23"/>
      <c r="KRK23"/>
      <c r="KRL23"/>
      <c r="KRM23"/>
      <c r="KRN23"/>
      <c r="KRO23"/>
      <c r="KRP23"/>
      <c r="KRQ23"/>
      <c r="KRR23"/>
      <c r="KRS23"/>
      <c r="KRT23"/>
      <c r="KRU23"/>
      <c r="KRV23"/>
      <c r="KRW23"/>
      <c r="KRX23"/>
      <c r="KRY23"/>
      <c r="KRZ23"/>
      <c r="KSA23"/>
      <c r="KSB23"/>
      <c r="KSC23"/>
      <c r="KSD23"/>
      <c r="KSE23"/>
      <c r="KSF23"/>
      <c r="KSG23"/>
      <c r="KSH23"/>
      <c r="KSI23"/>
      <c r="KSJ23"/>
      <c r="KSK23"/>
      <c r="KSL23"/>
      <c r="KSM23"/>
      <c r="KSN23"/>
      <c r="KSO23"/>
      <c r="KSP23"/>
      <c r="KSQ23"/>
      <c r="KSR23"/>
      <c r="KSS23"/>
      <c r="KST23"/>
      <c r="KSU23"/>
      <c r="KSV23"/>
      <c r="KSW23"/>
      <c r="KSX23"/>
      <c r="KSY23"/>
      <c r="KSZ23"/>
      <c r="KTA23"/>
      <c r="KTB23"/>
      <c r="KTC23"/>
      <c r="KTD23"/>
      <c r="KTE23"/>
      <c r="KTF23"/>
      <c r="KTG23"/>
      <c r="KTH23"/>
      <c r="KTI23"/>
      <c r="KTJ23"/>
      <c r="KTK23"/>
      <c r="KTL23"/>
      <c r="KTM23"/>
      <c r="KTN23"/>
      <c r="KTO23"/>
      <c r="KTP23"/>
      <c r="KTQ23"/>
      <c r="KTR23"/>
      <c r="KTS23"/>
      <c r="KTT23"/>
      <c r="KTU23"/>
      <c r="KTV23"/>
      <c r="KTW23"/>
      <c r="KTX23"/>
      <c r="KTY23"/>
      <c r="KTZ23"/>
      <c r="KUA23"/>
      <c r="KUB23"/>
      <c r="KUC23"/>
      <c r="KUD23"/>
      <c r="KUE23"/>
      <c r="KUF23"/>
      <c r="KUG23"/>
      <c r="KUH23"/>
      <c r="KUI23"/>
      <c r="KUJ23"/>
      <c r="KUK23"/>
      <c r="KUL23"/>
      <c r="KUM23"/>
      <c r="KUN23"/>
      <c r="KUO23"/>
      <c r="KUP23"/>
      <c r="KUQ23"/>
      <c r="KUR23"/>
      <c r="KUS23"/>
      <c r="KUT23"/>
      <c r="KUU23"/>
      <c r="KUV23"/>
      <c r="KUW23"/>
      <c r="KUX23"/>
      <c r="KUY23"/>
      <c r="KUZ23"/>
      <c r="KVA23"/>
      <c r="KVB23"/>
      <c r="KVC23"/>
      <c r="KVD23"/>
      <c r="KVE23"/>
      <c r="KVF23"/>
      <c r="KVG23"/>
      <c r="KVH23"/>
      <c r="KVI23"/>
      <c r="KVJ23"/>
      <c r="KVK23"/>
      <c r="KVL23"/>
      <c r="KVM23"/>
      <c r="KVN23"/>
      <c r="KVO23"/>
      <c r="KVP23"/>
      <c r="KVQ23"/>
      <c r="KVR23"/>
      <c r="KVS23"/>
      <c r="KVT23"/>
      <c r="KVU23"/>
      <c r="KVV23"/>
      <c r="KVW23"/>
      <c r="KVX23"/>
      <c r="KVY23"/>
      <c r="KVZ23"/>
      <c r="KWA23"/>
      <c r="KWB23"/>
      <c r="KWC23"/>
      <c r="KWD23"/>
      <c r="KWE23"/>
      <c r="KWF23"/>
      <c r="KWG23"/>
      <c r="KWH23"/>
      <c r="KWI23"/>
      <c r="KWJ23"/>
      <c r="KWK23"/>
      <c r="KWL23"/>
      <c r="KWM23"/>
      <c r="KWN23"/>
      <c r="KWO23"/>
      <c r="KWP23"/>
      <c r="KWQ23"/>
      <c r="KWR23"/>
      <c r="KWS23"/>
      <c r="KWT23"/>
      <c r="KWU23"/>
      <c r="KWV23"/>
      <c r="KWW23"/>
      <c r="KWX23"/>
      <c r="KWY23"/>
      <c r="KWZ23"/>
      <c r="KXA23"/>
      <c r="KXB23"/>
      <c r="KXC23"/>
      <c r="KXD23"/>
      <c r="KXE23"/>
      <c r="KXF23"/>
      <c r="KXG23"/>
      <c r="KXH23"/>
      <c r="KXI23"/>
      <c r="KXJ23"/>
      <c r="KXK23"/>
      <c r="KXL23"/>
      <c r="KXM23"/>
      <c r="KXN23"/>
      <c r="KXO23"/>
      <c r="KXP23"/>
      <c r="KXQ23"/>
      <c r="KXR23"/>
      <c r="KXS23"/>
      <c r="KXT23"/>
      <c r="KXU23"/>
      <c r="KXV23"/>
      <c r="KXW23"/>
      <c r="KXX23"/>
      <c r="KXY23"/>
      <c r="KXZ23"/>
      <c r="KYA23"/>
      <c r="KYB23"/>
      <c r="KYC23"/>
      <c r="KYD23"/>
      <c r="KYE23"/>
      <c r="KYF23"/>
      <c r="KYG23"/>
      <c r="KYH23"/>
      <c r="KYI23"/>
      <c r="KYJ23"/>
      <c r="KYK23"/>
      <c r="KYL23"/>
      <c r="KYM23"/>
      <c r="KYN23"/>
      <c r="KYO23"/>
      <c r="KYP23"/>
      <c r="KYQ23"/>
      <c r="KYR23"/>
      <c r="KYS23"/>
      <c r="KYT23"/>
      <c r="KYU23"/>
      <c r="KYV23"/>
      <c r="KYW23"/>
      <c r="KYX23"/>
      <c r="KYY23"/>
      <c r="KYZ23"/>
      <c r="KZA23"/>
      <c r="KZB23"/>
      <c r="KZC23"/>
      <c r="KZD23"/>
      <c r="KZE23"/>
      <c r="KZF23"/>
      <c r="KZG23"/>
      <c r="KZH23"/>
      <c r="KZI23"/>
      <c r="KZJ23"/>
      <c r="KZK23"/>
      <c r="KZL23"/>
      <c r="KZM23"/>
      <c r="KZN23"/>
      <c r="KZO23"/>
      <c r="KZP23"/>
      <c r="KZQ23"/>
      <c r="KZR23"/>
      <c r="KZS23"/>
      <c r="KZT23"/>
      <c r="KZU23"/>
      <c r="KZV23"/>
      <c r="KZW23"/>
      <c r="KZX23"/>
      <c r="KZY23"/>
      <c r="KZZ23"/>
      <c r="LAA23"/>
      <c r="LAB23"/>
      <c r="LAC23"/>
      <c r="LAD23"/>
      <c r="LAE23"/>
      <c r="LAF23"/>
      <c r="LAG23"/>
      <c r="LAH23"/>
      <c r="LAI23"/>
      <c r="LAJ23"/>
      <c r="LAK23"/>
      <c r="LAL23"/>
      <c r="LAM23"/>
      <c r="LAN23"/>
      <c r="LAO23"/>
      <c r="LAP23"/>
      <c r="LAQ23"/>
      <c r="LAR23"/>
      <c r="LAS23"/>
      <c r="LAT23"/>
      <c r="LAU23"/>
      <c r="LAV23"/>
      <c r="LAW23"/>
      <c r="LAX23"/>
      <c r="LAY23"/>
      <c r="LAZ23"/>
      <c r="LBA23"/>
      <c r="LBB23"/>
      <c r="LBC23"/>
      <c r="LBD23"/>
      <c r="LBE23"/>
      <c r="LBF23"/>
      <c r="LBG23"/>
      <c r="LBH23"/>
      <c r="LBI23"/>
      <c r="LBJ23"/>
      <c r="LBK23"/>
      <c r="LBL23"/>
      <c r="LBM23"/>
      <c r="LBN23"/>
      <c r="LBO23"/>
      <c r="LBP23"/>
      <c r="LBQ23"/>
      <c r="LBR23"/>
      <c r="LBS23"/>
      <c r="LBT23"/>
      <c r="LBU23"/>
      <c r="LBV23"/>
      <c r="LBW23"/>
      <c r="LBX23"/>
      <c r="LBY23"/>
      <c r="LBZ23"/>
      <c r="LCA23"/>
      <c r="LCB23"/>
      <c r="LCC23"/>
      <c r="LCD23"/>
      <c r="LCE23"/>
      <c r="LCF23"/>
      <c r="LCG23"/>
      <c r="LCH23"/>
      <c r="LCI23"/>
      <c r="LCJ23"/>
      <c r="LCK23"/>
      <c r="LCL23"/>
      <c r="LCM23"/>
      <c r="LCN23"/>
      <c r="LCO23"/>
      <c r="LCP23"/>
      <c r="LCQ23"/>
      <c r="LCR23"/>
      <c r="LCS23"/>
      <c r="LCT23"/>
      <c r="LCU23"/>
      <c r="LCV23"/>
      <c r="LCW23"/>
      <c r="LCX23"/>
      <c r="LCY23"/>
      <c r="LCZ23"/>
      <c r="LDA23"/>
      <c r="LDB23"/>
      <c r="LDC23"/>
      <c r="LDD23"/>
      <c r="LDE23"/>
      <c r="LDF23"/>
      <c r="LDG23"/>
      <c r="LDH23"/>
      <c r="LDI23"/>
      <c r="LDJ23"/>
      <c r="LDK23"/>
      <c r="LDL23"/>
      <c r="LDM23"/>
      <c r="LDN23"/>
      <c r="LDO23"/>
      <c r="LDP23"/>
      <c r="LDQ23"/>
      <c r="LDR23"/>
      <c r="LDS23"/>
      <c r="LDT23"/>
      <c r="LDU23"/>
      <c r="LDV23"/>
      <c r="LDW23"/>
      <c r="LDX23"/>
      <c r="LDY23"/>
      <c r="LDZ23"/>
      <c r="LEA23"/>
      <c r="LEB23"/>
      <c r="LEC23"/>
      <c r="LED23"/>
      <c r="LEE23"/>
      <c r="LEF23"/>
      <c r="LEG23"/>
      <c r="LEH23"/>
      <c r="LEI23"/>
      <c r="LEJ23"/>
      <c r="LEK23"/>
      <c r="LEL23"/>
      <c r="LEM23"/>
      <c r="LEN23"/>
      <c r="LEO23"/>
      <c r="LEP23"/>
      <c r="LEQ23"/>
      <c r="LER23"/>
      <c r="LES23"/>
      <c r="LET23"/>
      <c r="LEU23"/>
      <c r="LEV23"/>
      <c r="LEW23"/>
      <c r="LEX23"/>
      <c r="LEY23"/>
      <c r="LEZ23"/>
      <c r="LFA23"/>
      <c r="LFB23"/>
      <c r="LFC23"/>
      <c r="LFD23"/>
      <c r="LFE23"/>
      <c r="LFF23"/>
      <c r="LFG23"/>
      <c r="LFH23"/>
      <c r="LFI23"/>
      <c r="LFJ23"/>
      <c r="LFK23"/>
      <c r="LFL23"/>
      <c r="LFM23"/>
      <c r="LFN23"/>
      <c r="LFO23"/>
      <c r="LFP23"/>
      <c r="LFQ23"/>
      <c r="LFR23"/>
      <c r="LFS23"/>
      <c r="LFT23"/>
      <c r="LFU23"/>
      <c r="LFV23"/>
      <c r="LFW23"/>
      <c r="LFX23"/>
      <c r="LFY23"/>
      <c r="LFZ23"/>
      <c r="LGA23"/>
      <c r="LGB23"/>
      <c r="LGC23"/>
      <c r="LGD23"/>
      <c r="LGE23"/>
      <c r="LGF23"/>
      <c r="LGG23"/>
      <c r="LGH23"/>
      <c r="LGI23"/>
      <c r="LGJ23"/>
      <c r="LGK23"/>
      <c r="LGL23"/>
      <c r="LGM23"/>
      <c r="LGN23"/>
      <c r="LGO23"/>
      <c r="LGP23"/>
      <c r="LGQ23"/>
      <c r="LGR23"/>
      <c r="LGS23"/>
      <c r="LGT23"/>
      <c r="LGU23"/>
      <c r="LGV23"/>
      <c r="LGW23"/>
      <c r="LGX23"/>
      <c r="LGY23"/>
      <c r="LGZ23"/>
      <c r="LHA23"/>
      <c r="LHB23"/>
      <c r="LHC23"/>
      <c r="LHD23"/>
      <c r="LHE23"/>
      <c r="LHF23"/>
      <c r="LHG23"/>
      <c r="LHH23"/>
      <c r="LHI23"/>
      <c r="LHJ23"/>
      <c r="LHK23"/>
      <c r="LHL23"/>
      <c r="LHM23"/>
      <c r="LHN23"/>
      <c r="LHO23"/>
      <c r="LHP23"/>
      <c r="LHQ23"/>
      <c r="LHR23"/>
      <c r="LHS23"/>
      <c r="LHT23"/>
      <c r="LHU23"/>
      <c r="LHV23"/>
      <c r="LHW23"/>
      <c r="LHX23"/>
      <c r="LHY23"/>
      <c r="LHZ23"/>
      <c r="LIA23"/>
      <c r="LIB23"/>
      <c r="LIC23"/>
      <c r="LID23"/>
      <c r="LIE23"/>
      <c r="LIF23"/>
      <c r="LIG23"/>
      <c r="LIH23"/>
      <c r="LII23"/>
      <c r="LIJ23"/>
      <c r="LIK23"/>
      <c r="LIL23"/>
      <c r="LIM23"/>
      <c r="LIN23"/>
      <c r="LIO23"/>
      <c r="LIP23"/>
      <c r="LIQ23"/>
      <c r="LIR23"/>
      <c r="LIS23"/>
      <c r="LIT23"/>
      <c r="LIU23"/>
      <c r="LIV23"/>
      <c r="LIW23"/>
      <c r="LIX23"/>
      <c r="LIY23"/>
      <c r="LIZ23"/>
      <c r="LJA23"/>
      <c r="LJB23"/>
      <c r="LJC23"/>
      <c r="LJD23"/>
      <c r="LJE23"/>
      <c r="LJF23"/>
      <c r="LJG23"/>
      <c r="LJH23"/>
      <c r="LJI23"/>
      <c r="LJJ23"/>
      <c r="LJK23"/>
      <c r="LJL23"/>
      <c r="LJM23"/>
      <c r="LJN23"/>
      <c r="LJO23"/>
      <c r="LJP23"/>
      <c r="LJQ23"/>
      <c r="LJR23"/>
      <c r="LJS23"/>
      <c r="LJT23"/>
      <c r="LJU23"/>
      <c r="LJV23"/>
      <c r="LJW23"/>
      <c r="LJX23"/>
      <c r="LJY23"/>
      <c r="LJZ23"/>
      <c r="LKA23"/>
      <c r="LKB23"/>
      <c r="LKC23"/>
      <c r="LKD23"/>
      <c r="LKE23"/>
      <c r="LKF23"/>
      <c r="LKG23"/>
      <c r="LKH23"/>
      <c r="LKI23"/>
      <c r="LKJ23"/>
      <c r="LKK23"/>
      <c r="LKL23"/>
      <c r="LKM23"/>
      <c r="LKN23"/>
      <c r="LKO23"/>
      <c r="LKP23"/>
      <c r="LKQ23"/>
      <c r="LKR23"/>
      <c r="LKS23"/>
      <c r="LKT23"/>
      <c r="LKU23"/>
      <c r="LKV23"/>
      <c r="LKW23"/>
      <c r="LKX23"/>
      <c r="LKY23"/>
      <c r="LKZ23"/>
      <c r="LLA23"/>
      <c r="LLB23"/>
      <c r="LLC23"/>
      <c r="LLD23"/>
      <c r="LLE23"/>
      <c r="LLF23"/>
      <c r="LLG23"/>
      <c r="LLH23"/>
      <c r="LLI23"/>
      <c r="LLJ23"/>
      <c r="LLK23"/>
      <c r="LLL23"/>
      <c r="LLM23"/>
      <c r="LLN23"/>
      <c r="LLO23"/>
      <c r="LLP23"/>
      <c r="LLQ23"/>
      <c r="LLR23"/>
      <c r="LLS23"/>
      <c r="LLT23"/>
      <c r="LLU23"/>
      <c r="LLV23"/>
      <c r="LLW23"/>
      <c r="LLX23"/>
      <c r="LLY23"/>
      <c r="LLZ23"/>
      <c r="LMA23"/>
      <c r="LMB23"/>
      <c r="LMC23"/>
      <c r="LMD23"/>
      <c r="LME23"/>
      <c r="LMF23"/>
      <c r="LMG23"/>
      <c r="LMH23"/>
      <c r="LMI23"/>
      <c r="LMJ23"/>
      <c r="LMK23"/>
      <c r="LML23"/>
      <c r="LMM23"/>
      <c r="LMN23"/>
      <c r="LMO23"/>
      <c r="LMP23"/>
      <c r="LMQ23"/>
      <c r="LMR23"/>
      <c r="LMS23"/>
      <c r="LMT23"/>
      <c r="LMU23"/>
      <c r="LMV23"/>
      <c r="LMW23"/>
      <c r="LMX23"/>
      <c r="LMY23"/>
      <c r="LMZ23"/>
      <c r="LNA23"/>
      <c r="LNB23"/>
      <c r="LNC23"/>
      <c r="LND23"/>
      <c r="LNE23"/>
      <c r="LNF23"/>
      <c r="LNG23"/>
      <c r="LNH23"/>
      <c r="LNI23"/>
      <c r="LNJ23"/>
      <c r="LNK23"/>
      <c r="LNL23"/>
      <c r="LNM23"/>
      <c r="LNN23"/>
      <c r="LNO23"/>
      <c r="LNP23"/>
      <c r="LNQ23"/>
      <c r="LNR23"/>
      <c r="LNS23"/>
      <c r="LNT23"/>
      <c r="LNU23"/>
      <c r="LNV23"/>
      <c r="LNW23"/>
      <c r="LNX23"/>
      <c r="LNY23"/>
      <c r="LNZ23"/>
      <c r="LOA23"/>
      <c r="LOB23"/>
      <c r="LOC23"/>
      <c r="LOD23"/>
      <c r="LOE23"/>
      <c r="LOF23"/>
      <c r="LOG23"/>
      <c r="LOH23"/>
      <c r="LOI23"/>
      <c r="LOJ23"/>
      <c r="LOK23"/>
      <c r="LOL23"/>
      <c r="LOM23"/>
      <c r="LON23"/>
      <c r="LOO23"/>
      <c r="LOP23"/>
      <c r="LOQ23"/>
      <c r="LOR23"/>
      <c r="LOS23"/>
      <c r="LOT23"/>
      <c r="LOU23"/>
      <c r="LOV23"/>
      <c r="LOW23"/>
      <c r="LOX23"/>
      <c r="LOY23"/>
      <c r="LOZ23"/>
      <c r="LPA23"/>
      <c r="LPB23"/>
      <c r="LPC23"/>
      <c r="LPD23"/>
      <c r="LPE23"/>
      <c r="LPF23"/>
      <c r="LPG23"/>
      <c r="LPH23"/>
      <c r="LPI23"/>
      <c r="LPJ23"/>
      <c r="LPK23"/>
      <c r="LPL23"/>
      <c r="LPM23"/>
      <c r="LPN23"/>
      <c r="LPO23"/>
      <c r="LPP23"/>
      <c r="LPQ23"/>
      <c r="LPR23"/>
      <c r="LPS23"/>
      <c r="LPT23"/>
      <c r="LPU23"/>
      <c r="LPV23"/>
      <c r="LPW23"/>
      <c r="LPX23"/>
      <c r="LPY23"/>
      <c r="LPZ23"/>
      <c r="LQA23"/>
      <c r="LQB23"/>
      <c r="LQC23"/>
      <c r="LQD23"/>
      <c r="LQE23"/>
      <c r="LQF23"/>
      <c r="LQG23"/>
      <c r="LQH23"/>
      <c r="LQI23"/>
      <c r="LQJ23"/>
      <c r="LQK23"/>
      <c r="LQL23"/>
      <c r="LQM23"/>
      <c r="LQN23"/>
      <c r="LQO23"/>
      <c r="LQP23"/>
      <c r="LQQ23"/>
      <c r="LQR23"/>
      <c r="LQS23"/>
      <c r="LQT23"/>
      <c r="LQU23"/>
      <c r="LQV23"/>
      <c r="LQW23"/>
      <c r="LQX23"/>
      <c r="LQY23"/>
      <c r="LQZ23"/>
      <c r="LRA23"/>
      <c r="LRB23"/>
      <c r="LRC23"/>
      <c r="LRD23"/>
      <c r="LRE23"/>
      <c r="LRF23"/>
      <c r="LRG23"/>
      <c r="LRH23"/>
      <c r="LRI23"/>
      <c r="LRJ23"/>
      <c r="LRK23"/>
      <c r="LRL23"/>
      <c r="LRM23"/>
      <c r="LRN23"/>
      <c r="LRO23"/>
      <c r="LRP23"/>
      <c r="LRQ23"/>
      <c r="LRR23"/>
      <c r="LRS23"/>
      <c r="LRT23"/>
      <c r="LRU23"/>
      <c r="LRV23"/>
      <c r="LRW23"/>
      <c r="LRX23"/>
      <c r="LRY23"/>
      <c r="LRZ23"/>
      <c r="LSA23"/>
      <c r="LSB23"/>
      <c r="LSC23"/>
      <c r="LSD23"/>
      <c r="LSE23"/>
      <c r="LSF23"/>
      <c r="LSG23"/>
      <c r="LSH23"/>
      <c r="LSI23"/>
      <c r="LSJ23"/>
      <c r="LSK23"/>
      <c r="LSL23"/>
      <c r="LSM23"/>
      <c r="LSN23"/>
      <c r="LSO23"/>
      <c r="LSP23"/>
      <c r="LSQ23"/>
      <c r="LSR23"/>
      <c r="LSS23"/>
      <c r="LST23"/>
      <c r="LSU23"/>
      <c r="LSV23"/>
      <c r="LSW23"/>
      <c r="LSX23"/>
      <c r="LSY23"/>
      <c r="LSZ23"/>
      <c r="LTA23"/>
      <c r="LTB23"/>
      <c r="LTC23"/>
      <c r="LTD23"/>
      <c r="LTE23"/>
      <c r="LTF23"/>
      <c r="LTG23"/>
      <c r="LTH23"/>
      <c r="LTI23"/>
      <c r="LTJ23"/>
      <c r="LTK23"/>
      <c r="LTL23"/>
      <c r="LTM23"/>
      <c r="LTN23"/>
      <c r="LTO23"/>
      <c r="LTP23"/>
      <c r="LTQ23"/>
      <c r="LTR23"/>
      <c r="LTS23"/>
      <c r="LTT23"/>
      <c r="LTU23"/>
      <c r="LTV23"/>
      <c r="LTW23"/>
      <c r="LTX23"/>
      <c r="LTY23"/>
      <c r="LTZ23"/>
      <c r="LUA23"/>
      <c r="LUB23"/>
      <c r="LUC23"/>
      <c r="LUD23"/>
      <c r="LUE23"/>
      <c r="LUF23"/>
      <c r="LUG23"/>
      <c r="LUH23"/>
      <c r="LUI23"/>
      <c r="LUJ23"/>
      <c r="LUK23"/>
      <c r="LUL23"/>
      <c r="LUM23"/>
      <c r="LUN23"/>
      <c r="LUO23"/>
      <c r="LUP23"/>
      <c r="LUQ23"/>
      <c r="LUR23"/>
      <c r="LUS23"/>
      <c r="LUT23"/>
      <c r="LUU23"/>
      <c r="LUV23"/>
      <c r="LUW23"/>
      <c r="LUX23"/>
      <c r="LUY23"/>
      <c r="LUZ23"/>
      <c r="LVA23"/>
      <c r="LVB23"/>
      <c r="LVC23"/>
      <c r="LVD23"/>
      <c r="LVE23"/>
      <c r="LVF23"/>
      <c r="LVG23"/>
      <c r="LVH23"/>
      <c r="LVI23"/>
      <c r="LVJ23"/>
      <c r="LVK23"/>
      <c r="LVL23"/>
      <c r="LVM23"/>
      <c r="LVN23"/>
      <c r="LVO23"/>
      <c r="LVP23"/>
      <c r="LVQ23"/>
      <c r="LVR23"/>
      <c r="LVS23"/>
      <c r="LVT23"/>
      <c r="LVU23"/>
      <c r="LVV23"/>
      <c r="LVW23"/>
      <c r="LVX23"/>
      <c r="LVY23"/>
      <c r="LVZ23"/>
      <c r="LWA23"/>
      <c r="LWB23"/>
      <c r="LWC23"/>
      <c r="LWD23"/>
      <c r="LWE23"/>
      <c r="LWF23"/>
      <c r="LWG23"/>
      <c r="LWH23"/>
      <c r="LWI23"/>
      <c r="LWJ23"/>
      <c r="LWK23"/>
      <c r="LWL23"/>
      <c r="LWM23"/>
      <c r="LWN23"/>
      <c r="LWO23"/>
      <c r="LWP23"/>
      <c r="LWQ23"/>
      <c r="LWR23"/>
      <c r="LWS23"/>
      <c r="LWT23"/>
      <c r="LWU23"/>
      <c r="LWV23"/>
      <c r="LWW23"/>
      <c r="LWX23"/>
      <c r="LWY23"/>
      <c r="LWZ23"/>
      <c r="LXA23"/>
      <c r="LXB23"/>
      <c r="LXC23"/>
      <c r="LXD23"/>
      <c r="LXE23"/>
      <c r="LXF23"/>
      <c r="LXG23"/>
      <c r="LXH23"/>
      <c r="LXI23"/>
      <c r="LXJ23"/>
      <c r="LXK23"/>
      <c r="LXL23"/>
      <c r="LXM23"/>
      <c r="LXN23"/>
      <c r="LXO23"/>
      <c r="LXP23"/>
      <c r="LXQ23"/>
      <c r="LXR23"/>
      <c r="LXS23"/>
      <c r="LXT23"/>
      <c r="LXU23"/>
      <c r="LXV23"/>
      <c r="LXW23"/>
      <c r="LXX23"/>
      <c r="LXY23"/>
      <c r="LXZ23"/>
      <c r="LYA23"/>
      <c r="LYB23"/>
      <c r="LYC23"/>
      <c r="LYD23"/>
      <c r="LYE23"/>
      <c r="LYF23"/>
      <c r="LYG23"/>
      <c r="LYH23"/>
      <c r="LYI23"/>
      <c r="LYJ23"/>
      <c r="LYK23"/>
      <c r="LYL23"/>
      <c r="LYM23"/>
      <c r="LYN23"/>
      <c r="LYO23"/>
      <c r="LYP23"/>
      <c r="LYQ23"/>
      <c r="LYR23"/>
      <c r="LYS23"/>
      <c r="LYT23"/>
      <c r="LYU23"/>
      <c r="LYV23"/>
      <c r="LYW23"/>
      <c r="LYX23"/>
      <c r="LYY23"/>
      <c r="LYZ23"/>
      <c r="LZA23"/>
      <c r="LZB23"/>
      <c r="LZC23"/>
      <c r="LZD23"/>
      <c r="LZE23"/>
      <c r="LZF23"/>
      <c r="LZG23"/>
      <c r="LZH23"/>
      <c r="LZI23"/>
      <c r="LZJ23"/>
      <c r="LZK23"/>
      <c r="LZL23"/>
      <c r="LZM23"/>
      <c r="LZN23"/>
      <c r="LZO23"/>
      <c r="LZP23"/>
      <c r="LZQ23"/>
      <c r="LZR23"/>
      <c r="LZS23"/>
      <c r="LZT23"/>
      <c r="LZU23"/>
      <c r="LZV23"/>
      <c r="LZW23"/>
      <c r="LZX23"/>
      <c r="LZY23"/>
      <c r="LZZ23"/>
      <c r="MAA23"/>
      <c r="MAB23"/>
      <c r="MAC23"/>
      <c r="MAD23"/>
      <c r="MAE23"/>
      <c r="MAF23"/>
      <c r="MAG23"/>
      <c r="MAH23"/>
      <c r="MAI23"/>
      <c r="MAJ23"/>
      <c r="MAK23"/>
      <c r="MAL23"/>
      <c r="MAM23"/>
      <c r="MAN23"/>
      <c r="MAO23"/>
      <c r="MAP23"/>
      <c r="MAQ23"/>
      <c r="MAR23"/>
      <c r="MAS23"/>
      <c r="MAT23"/>
      <c r="MAU23"/>
      <c r="MAV23"/>
      <c r="MAW23"/>
      <c r="MAX23"/>
      <c r="MAY23"/>
      <c r="MAZ23"/>
      <c r="MBA23"/>
      <c r="MBB23"/>
      <c r="MBC23"/>
      <c r="MBD23"/>
      <c r="MBE23"/>
      <c r="MBF23"/>
      <c r="MBG23"/>
      <c r="MBH23"/>
      <c r="MBI23"/>
      <c r="MBJ23"/>
      <c r="MBK23"/>
      <c r="MBL23"/>
      <c r="MBM23"/>
      <c r="MBN23"/>
      <c r="MBO23"/>
      <c r="MBP23"/>
      <c r="MBQ23"/>
      <c r="MBR23"/>
      <c r="MBS23"/>
      <c r="MBT23"/>
      <c r="MBU23"/>
      <c r="MBV23"/>
      <c r="MBW23"/>
      <c r="MBX23"/>
      <c r="MBY23"/>
      <c r="MBZ23"/>
      <c r="MCA23"/>
      <c r="MCB23"/>
      <c r="MCC23"/>
      <c r="MCD23"/>
      <c r="MCE23"/>
      <c r="MCF23"/>
      <c r="MCG23"/>
      <c r="MCH23"/>
      <c r="MCI23"/>
      <c r="MCJ23"/>
      <c r="MCK23"/>
      <c r="MCL23"/>
      <c r="MCM23"/>
      <c r="MCN23"/>
      <c r="MCO23"/>
      <c r="MCP23"/>
      <c r="MCQ23"/>
      <c r="MCR23"/>
      <c r="MCS23"/>
      <c r="MCT23"/>
      <c r="MCU23"/>
      <c r="MCV23"/>
      <c r="MCW23"/>
      <c r="MCX23"/>
      <c r="MCY23"/>
      <c r="MCZ23"/>
      <c r="MDA23"/>
      <c r="MDB23"/>
      <c r="MDC23"/>
      <c r="MDD23"/>
      <c r="MDE23"/>
      <c r="MDF23"/>
      <c r="MDG23"/>
      <c r="MDH23"/>
      <c r="MDI23"/>
      <c r="MDJ23"/>
      <c r="MDK23"/>
      <c r="MDL23"/>
      <c r="MDM23"/>
      <c r="MDN23"/>
      <c r="MDO23"/>
      <c r="MDP23"/>
      <c r="MDQ23"/>
      <c r="MDR23"/>
      <c r="MDS23"/>
      <c r="MDT23"/>
      <c r="MDU23"/>
      <c r="MDV23"/>
      <c r="MDW23"/>
      <c r="MDX23"/>
      <c r="MDY23"/>
      <c r="MDZ23"/>
      <c r="MEA23"/>
      <c r="MEB23"/>
      <c r="MEC23"/>
      <c r="MED23"/>
      <c r="MEE23"/>
      <c r="MEF23"/>
      <c r="MEG23"/>
      <c r="MEH23"/>
      <c r="MEI23"/>
      <c r="MEJ23"/>
      <c r="MEK23"/>
      <c r="MEL23"/>
      <c r="MEM23"/>
      <c r="MEN23"/>
      <c r="MEO23"/>
      <c r="MEP23"/>
      <c r="MEQ23"/>
      <c r="MER23"/>
      <c r="MES23"/>
      <c r="MET23"/>
      <c r="MEU23"/>
      <c r="MEV23"/>
      <c r="MEW23"/>
      <c r="MEX23"/>
      <c r="MEY23"/>
      <c r="MEZ23"/>
      <c r="MFA23"/>
      <c r="MFB23"/>
      <c r="MFC23"/>
      <c r="MFD23"/>
      <c r="MFE23"/>
      <c r="MFF23"/>
      <c r="MFG23"/>
      <c r="MFH23"/>
      <c r="MFI23"/>
      <c r="MFJ23"/>
      <c r="MFK23"/>
      <c r="MFL23"/>
      <c r="MFM23"/>
      <c r="MFN23"/>
      <c r="MFO23"/>
      <c r="MFP23"/>
      <c r="MFQ23"/>
      <c r="MFR23"/>
      <c r="MFS23"/>
      <c r="MFT23"/>
      <c r="MFU23"/>
      <c r="MFV23"/>
      <c r="MFW23"/>
      <c r="MFX23"/>
      <c r="MFY23"/>
      <c r="MFZ23"/>
      <c r="MGA23"/>
      <c r="MGB23"/>
      <c r="MGC23"/>
      <c r="MGD23"/>
      <c r="MGE23"/>
      <c r="MGF23"/>
      <c r="MGG23"/>
      <c r="MGH23"/>
      <c r="MGI23"/>
      <c r="MGJ23"/>
      <c r="MGK23"/>
      <c r="MGL23"/>
      <c r="MGM23"/>
      <c r="MGN23"/>
      <c r="MGO23"/>
      <c r="MGP23"/>
      <c r="MGQ23"/>
      <c r="MGR23"/>
      <c r="MGS23"/>
      <c r="MGT23"/>
      <c r="MGU23"/>
      <c r="MGV23"/>
      <c r="MGW23"/>
      <c r="MGX23"/>
      <c r="MGY23"/>
      <c r="MGZ23"/>
      <c r="MHA23"/>
      <c r="MHB23"/>
      <c r="MHC23"/>
      <c r="MHD23"/>
      <c r="MHE23"/>
      <c r="MHF23"/>
      <c r="MHG23"/>
      <c r="MHH23"/>
      <c r="MHI23"/>
      <c r="MHJ23"/>
      <c r="MHK23"/>
      <c r="MHL23"/>
      <c r="MHM23"/>
      <c r="MHN23"/>
      <c r="MHO23"/>
      <c r="MHP23"/>
      <c r="MHQ23"/>
      <c r="MHR23"/>
      <c r="MHS23"/>
      <c r="MHT23"/>
      <c r="MHU23"/>
      <c r="MHV23"/>
      <c r="MHW23"/>
      <c r="MHX23"/>
      <c r="MHY23"/>
      <c r="MHZ23"/>
      <c r="MIA23"/>
      <c r="MIB23"/>
      <c r="MIC23"/>
      <c r="MID23"/>
      <c r="MIE23"/>
      <c r="MIF23"/>
      <c r="MIG23"/>
      <c r="MIH23"/>
      <c r="MII23"/>
      <c r="MIJ23"/>
      <c r="MIK23"/>
      <c r="MIL23"/>
      <c r="MIM23"/>
      <c r="MIN23"/>
      <c r="MIO23"/>
      <c r="MIP23"/>
      <c r="MIQ23"/>
      <c r="MIR23"/>
      <c r="MIS23"/>
      <c r="MIT23"/>
      <c r="MIU23"/>
      <c r="MIV23"/>
      <c r="MIW23"/>
      <c r="MIX23"/>
      <c r="MIY23"/>
      <c r="MIZ23"/>
      <c r="MJA23"/>
      <c r="MJB23"/>
      <c r="MJC23"/>
      <c r="MJD23"/>
      <c r="MJE23"/>
      <c r="MJF23"/>
      <c r="MJG23"/>
      <c r="MJH23"/>
      <c r="MJI23"/>
      <c r="MJJ23"/>
      <c r="MJK23"/>
      <c r="MJL23"/>
      <c r="MJM23"/>
      <c r="MJN23"/>
      <c r="MJO23"/>
      <c r="MJP23"/>
      <c r="MJQ23"/>
      <c r="MJR23"/>
      <c r="MJS23"/>
      <c r="MJT23"/>
      <c r="MJU23"/>
      <c r="MJV23"/>
      <c r="MJW23"/>
      <c r="MJX23"/>
      <c r="MJY23"/>
      <c r="MJZ23"/>
      <c r="MKA23"/>
      <c r="MKB23"/>
      <c r="MKC23"/>
      <c r="MKD23"/>
      <c r="MKE23"/>
      <c r="MKF23"/>
      <c r="MKG23"/>
      <c r="MKH23"/>
      <c r="MKI23"/>
      <c r="MKJ23"/>
      <c r="MKK23"/>
      <c r="MKL23"/>
      <c r="MKM23"/>
      <c r="MKN23"/>
      <c r="MKO23"/>
      <c r="MKP23"/>
      <c r="MKQ23"/>
      <c r="MKR23"/>
      <c r="MKS23"/>
      <c r="MKT23"/>
      <c r="MKU23"/>
      <c r="MKV23"/>
      <c r="MKW23"/>
      <c r="MKX23"/>
      <c r="MKY23"/>
      <c r="MKZ23"/>
      <c r="MLA23"/>
      <c r="MLB23"/>
      <c r="MLC23"/>
      <c r="MLD23"/>
      <c r="MLE23"/>
      <c r="MLF23"/>
      <c r="MLG23"/>
      <c r="MLH23"/>
      <c r="MLI23"/>
      <c r="MLJ23"/>
      <c r="MLK23"/>
      <c r="MLL23"/>
      <c r="MLM23"/>
      <c r="MLN23"/>
      <c r="MLO23"/>
      <c r="MLP23"/>
      <c r="MLQ23"/>
      <c r="MLR23"/>
      <c r="MLS23"/>
      <c r="MLT23"/>
      <c r="MLU23"/>
      <c r="MLV23"/>
      <c r="MLW23"/>
      <c r="MLX23"/>
      <c r="MLY23"/>
      <c r="MLZ23"/>
      <c r="MMA23"/>
      <c r="MMB23"/>
      <c r="MMC23"/>
      <c r="MMD23"/>
      <c r="MME23"/>
      <c r="MMF23"/>
      <c r="MMG23"/>
      <c r="MMH23"/>
      <c r="MMI23"/>
      <c r="MMJ23"/>
      <c r="MMK23"/>
      <c r="MML23"/>
      <c r="MMM23"/>
      <c r="MMN23"/>
      <c r="MMO23"/>
      <c r="MMP23"/>
      <c r="MMQ23"/>
      <c r="MMR23"/>
      <c r="MMS23"/>
      <c r="MMT23"/>
      <c r="MMU23"/>
      <c r="MMV23"/>
      <c r="MMW23"/>
      <c r="MMX23"/>
      <c r="MMY23"/>
      <c r="MMZ23"/>
      <c r="MNA23"/>
      <c r="MNB23"/>
      <c r="MNC23"/>
      <c r="MND23"/>
      <c r="MNE23"/>
      <c r="MNF23"/>
      <c r="MNG23"/>
      <c r="MNH23"/>
      <c r="MNI23"/>
      <c r="MNJ23"/>
      <c r="MNK23"/>
      <c r="MNL23"/>
      <c r="MNM23"/>
      <c r="MNN23"/>
      <c r="MNO23"/>
      <c r="MNP23"/>
      <c r="MNQ23"/>
      <c r="MNR23"/>
      <c r="MNS23"/>
      <c r="MNT23"/>
      <c r="MNU23"/>
      <c r="MNV23"/>
      <c r="MNW23"/>
      <c r="MNX23"/>
      <c r="MNY23"/>
      <c r="MNZ23"/>
      <c r="MOA23"/>
      <c r="MOB23"/>
      <c r="MOC23"/>
      <c r="MOD23"/>
      <c r="MOE23"/>
      <c r="MOF23"/>
      <c r="MOG23"/>
      <c r="MOH23"/>
      <c r="MOI23"/>
      <c r="MOJ23"/>
      <c r="MOK23"/>
      <c r="MOL23"/>
      <c r="MOM23"/>
      <c r="MON23"/>
      <c r="MOO23"/>
      <c r="MOP23"/>
      <c r="MOQ23"/>
      <c r="MOR23"/>
      <c r="MOS23"/>
      <c r="MOT23"/>
      <c r="MOU23"/>
      <c r="MOV23"/>
      <c r="MOW23"/>
      <c r="MOX23"/>
      <c r="MOY23"/>
      <c r="MOZ23"/>
      <c r="MPA23"/>
      <c r="MPB23"/>
      <c r="MPC23"/>
      <c r="MPD23"/>
      <c r="MPE23"/>
      <c r="MPF23"/>
      <c r="MPG23"/>
      <c r="MPH23"/>
      <c r="MPI23"/>
      <c r="MPJ23"/>
      <c r="MPK23"/>
      <c r="MPL23"/>
      <c r="MPM23"/>
      <c r="MPN23"/>
      <c r="MPO23"/>
      <c r="MPP23"/>
      <c r="MPQ23"/>
      <c r="MPR23"/>
      <c r="MPS23"/>
      <c r="MPT23"/>
      <c r="MPU23"/>
      <c r="MPV23"/>
      <c r="MPW23"/>
      <c r="MPX23"/>
      <c r="MPY23"/>
      <c r="MPZ23"/>
      <c r="MQA23"/>
      <c r="MQB23"/>
      <c r="MQC23"/>
      <c r="MQD23"/>
      <c r="MQE23"/>
      <c r="MQF23"/>
      <c r="MQG23"/>
      <c r="MQH23"/>
      <c r="MQI23"/>
      <c r="MQJ23"/>
      <c r="MQK23"/>
      <c r="MQL23"/>
      <c r="MQM23"/>
      <c r="MQN23"/>
      <c r="MQO23"/>
      <c r="MQP23"/>
      <c r="MQQ23"/>
      <c r="MQR23"/>
      <c r="MQS23"/>
      <c r="MQT23"/>
      <c r="MQU23"/>
      <c r="MQV23"/>
      <c r="MQW23"/>
      <c r="MQX23"/>
      <c r="MQY23"/>
      <c r="MQZ23"/>
      <c r="MRA23"/>
      <c r="MRB23"/>
      <c r="MRC23"/>
      <c r="MRD23"/>
      <c r="MRE23"/>
      <c r="MRF23"/>
      <c r="MRG23"/>
      <c r="MRH23"/>
      <c r="MRI23"/>
      <c r="MRJ23"/>
      <c r="MRK23"/>
      <c r="MRL23"/>
      <c r="MRM23"/>
      <c r="MRN23"/>
      <c r="MRO23"/>
      <c r="MRP23"/>
      <c r="MRQ23"/>
      <c r="MRR23"/>
      <c r="MRS23"/>
      <c r="MRT23"/>
      <c r="MRU23"/>
      <c r="MRV23"/>
      <c r="MRW23"/>
      <c r="MRX23"/>
      <c r="MRY23"/>
      <c r="MRZ23"/>
      <c r="MSA23"/>
      <c r="MSB23"/>
      <c r="MSC23"/>
      <c r="MSD23"/>
      <c r="MSE23"/>
      <c r="MSF23"/>
      <c r="MSG23"/>
      <c r="MSH23"/>
      <c r="MSI23"/>
      <c r="MSJ23"/>
      <c r="MSK23"/>
      <c r="MSL23"/>
      <c r="MSM23"/>
      <c r="MSN23"/>
      <c r="MSO23"/>
      <c r="MSP23"/>
      <c r="MSQ23"/>
      <c r="MSR23"/>
      <c r="MSS23"/>
      <c r="MST23"/>
      <c r="MSU23"/>
      <c r="MSV23"/>
      <c r="MSW23"/>
      <c r="MSX23"/>
      <c r="MSY23"/>
      <c r="MSZ23"/>
      <c r="MTA23"/>
      <c r="MTB23"/>
      <c r="MTC23"/>
      <c r="MTD23"/>
      <c r="MTE23"/>
      <c r="MTF23"/>
      <c r="MTG23"/>
      <c r="MTH23"/>
      <c r="MTI23"/>
      <c r="MTJ23"/>
      <c r="MTK23"/>
      <c r="MTL23"/>
      <c r="MTM23"/>
      <c r="MTN23"/>
      <c r="MTO23"/>
      <c r="MTP23"/>
      <c r="MTQ23"/>
      <c r="MTR23"/>
      <c r="MTS23"/>
      <c r="MTT23"/>
      <c r="MTU23"/>
      <c r="MTV23"/>
      <c r="MTW23"/>
      <c r="MTX23"/>
      <c r="MTY23"/>
      <c r="MTZ23"/>
      <c r="MUA23"/>
      <c r="MUB23"/>
      <c r="MUC23"/>
      <c r="MUD23"/>
      <c r="MUE23"/>
      <c r="MUF23"/>
      <c r="MUG23"/>
      <c r="MUH23"/>
      <c r="MUI23"/>
      <c r="MUJ23"/>
      <c r="MUK23"/>
      <c r="MUL23"/>
      <c r="MUM23"/>
      <c r="MUN23"/>
      <c r="MUO23"/>
      <c r="MUP23"/>
      <c r="MUQ23"/>
      <c r="MUR23"/>
      <c r="MUS23"/>
      <c r="MUT23"/>
      <c r="MUU23"/>
      <c r="MUV23"/>
      <c r="MUW23"/>
      <c r="MUX23"/>
      <c r="MUY23"/>
      <c r="MUZ23"/>
      <c r="MVA23"/>
      <c r="MVB23"/>
      <c r="MVC23"/>
      <c r="MVD23"/>
      <c r="MVE23"/>
      <c r="MVF23"/>
      <c r="MVG23"/>
      <c r="MVH23"/>
      <c r="MVI23"/>
      <c r="MVJ23"/>
      <c r="MVK23"/>
      <c r="MVL23"/>
      <c r="MVM23"/>
      <c r="MVN23"/>
      <c r="MVO23"/>
      <c r="MVP23"/>
      <c r="MVQ23"/>
      <c r="MVR23"/>
      <c r="MVS23"/>
      <c r="MVT23"/>
      <c r="MVU23"/>
      <c r="MVV23"/>
      <c r="MVW23"/>
      <c r="MVX23"/>
      <c r="MVY23"/>
      <c r="MVZ23"/>
      <c r="MWA23"/>
      <c r="MWB23"/>
      <c r="MWC23"/>
      <c r="MWD23"/>
      <c r="MWE23"/>
      <c r="MWF23"/>
      <c r="MWG23"/>
      <c r="MWH23"/>
      <c r="MWI23"/>
      <c r="MWJ23"/>
      <c r="MWK23"/>
      <c r="MWL23"/>
      <c r="MWM23"/>
      <c r="MWN23"/>
      <c r="MWO23"/>
      <c r="MWP23"/>
      <c r="MWQ23"/>
      <c r="MWR23"/>
      <c r="MWS23"/>
      <c r="MWT23"/>
      <c r="MWU23"/>
      <c r="MWV23"/>
      <c r="MWW23"/>
      <c r="MWX23"/>
      <c r="MWY23"/>
      <c r="MWZ23"/>
      <c r="MXA23"/>
      <c r="MXB23"/>
      <c r="MXC23"/>
      <c r="MXD23"/>
      <c r="MXE23"/>
      <c r="MXF23"/>
      <c r="MXG23"/>
      <c r="MXH23"/>
      <c r="MXI23"/>
      <c r="MXJ23"/>
      <c r="MXK23"/>
      <c r="MXL23"/>
      <c r="MXM23"/>
      <c r="MXN23"/>
      <c r="MXO23"/>
      <c r="MXP23"/>
      <c r="MXQ23"/>
      <c r="MXR23"/>
      <c r="MXS23"/>
      <c r="MXT23"/>
      <c r="MXU23"/>
      <c r="MXV23"/>
      <c r="MXW23"/>
      <c r="MXX23"/>
      <c r="MXY23"/>
      <c r="MXZ23"/>
      <c r="MYA23"/>
      <c r="MYB23"/>
      <c r="MYC23"/>
      <c r="MYD23"/>
      <c r="MYE23"/>
      <c r="MYF23"/>
      <c r="MYG23"/>
      <c r="MYH23"/>
      <c r="MYI23"/>
      <c r="MYJ23"/>
      <c r="MYK23"/>
      <c r="MYL23"/>
      <c r="MYM23"/>
      <c r="MYN23"/>
      <c r="MYO23"/>
      <c r="MYP23"/>
      <c r="MYQ23"/>
      <c r="MYR23"/>
      <c r="MYS23"/>
      <c r="MYT23"/>
      <c r="MYU23"/>
      <c r="MYV23"/>
      <c r="MYW23"/>
      <c r="MYX23"/>
      <c r="MYY23"/>
      <c r="MYZ23"/>
      <c r="MZA23"/>
      <c r="MZB23"/>
      <c r="MZC23"/>
      <c r="MZD23"/>
      <c r="MZE23"/>
      <c r="MZF23"/>
      <c r="MZG23"/>
      <c r="MZH23"/>
      <c r="MZI23"/>
      <c r="MZJ23"/>
      <c r="MZK23"/>
      <c r="MZL23"/>
      <c r="MZM23"/>
      <c r="MZN23"/>
      <c r="MZO23"/>
      <c r="MZP23"/>
      <c r="MZQ23"/>
      <c r="MZR23"/>
      <c r="MZS23"/>
      <c r="MZT23"/>
      <c r="MZU23"/>
      <c r="MZV23"/>
      <c r="MZW23"/>
      <c r="MZX23"/>
      <c r="MZY23"/>
      <c r="MZZ23"/>
      <c r="NAA23"/>
      <c r="NAB23"/>
      <c r="NAC23"/>
      <c r="NAD23"/>
      <c r="NAE23"/>
      <c r="NAF23"/>
      <c r="NAG23"/>
      <c r="NAH23"/>
      <c r="NAI23"/>
      <c r="NAJ23"/>
      <c r="NAK23"/>
      <c r="NAL23"/>
      <c r="NAM23"/>
      <c r="NAN23"/>
      <c r="NAO23"/>
      <c r="NAP23"/>
      <c r="NAQ23"/>
      <c r="NAR23"/>
      <c r="NAS23"/>
      <c r="NAT23"/>
      <c r="NAU23"/>
      <c r="NAV23"/>
      <c r="NAW23"/>
      <c r="NAX23"/>
      <c r="NAY23"/>
      <c r="NAZ23"/>
      <c r="NBA23"/>
      <c r="NBB23"/>
      <c r="NBC23"/>
      <c r="NBD23"/>
      <c r="NBE23"/>
      <c r="NBF23"/>
      <c r="NBG23"/>
      <c r="NBH23"/>
      <c r="NBI23"/>
      <c r="NBJ23"/>
      <c r="NBK23"/>
      <c r="NBL23"/>
      <c r="NBM23"/>
      <c r="NBN23"/>
      <c r="NBO23"/>
      <c r="NBP23"/>
      <c r="NBQ23"/>
      <c r="NBR23"/>
      <c r="NBS23"/>
      <c r="NBT23"/>
      <c r="NBU23"/>
      <c r="NBV23"/>
      <c r="NBW23"/>
      <c r="NBX23"/>
      <c r="NBY23"/>
      <c r="NBZ23"/>
      <c r="NCA23"/>
      <c r="NCB23"/>
      <c r="NCC23"/>
      <c r="NCD23"/>
      <c r="NCE23"/>
      <c r="NCF23"/>
      <c r="NCG23"/>
      <c r="NCH23"/>
      <c r="NCI23"/>
      <c r="NCJ23"/>
      <c r="NCK23"/>
      <c r="NCL23"/>
      <c r="NCM23"/>
      <c r="NCN23"/>
      <c r="NCO23"/>
      <c r="NCP23"/>
      <c r="NCQ23"/>
      <c r="NCR23"/>
      <c r="NCS23"/>
      <c r="NCT23"/>
      <c r="NCU23"/>
      <c r="NCV23"/>
      <c r="NCW23"/>
      <c r="NCX23"/>
      <c r="NCY23"/>
      <c r="NCZ23"/>
      <c r="NDA23"/>
      <c r="NDB23"/>
      <c r="NDC23"/>
      <c r="NDD23"/>
      <c r="NDE23"/>
      <c r="NDF23"/>
      <c r="NDG23"/>
      <c r="NDH23"/>
      <c r="NDI23"/>
      <c r="NDJ23"/>
      <c r="NDK23"/>
      <c r="NDL23"/>
      <c r="NDM23"/>
      <c r="NDN23"/>
      <c r="NDO23"/>
      <c r="NDP23"/>
      <c r="NDQ23"/>
      <c r="NDR23"/>
      <c r="NDS23"/>
      <c r="NDT23"/>
      <c r="NDU23"/>
      <c r="NDV23"/>
      <c r="NDW23"/>
      <c r="NDX23"/>
      <c r="NDY23"/>
      <c r="NDZ23"/>
      <c r="NEA23"/>
      <c r="NEB23"/>
      <c r="NEC23"/>
      <c r="NED23"/>
      <c r="NEE23"/>
      <c r="NEF23"/>
      <c r="NEG23"/>
      <c r="NEH23"/>
      <c r="NEI23"/>
      <c r="NEJ23"/>
      <c r="NEK23"/>
      <c r="NEL23"/>
      <c r="NEM23"/>
      <c r="NEN23"/>
      <c r="NEO23"/>
      <c r="NEP23"/>
      <c r="NEQ23"/>
      <c r="NER23"/>
      <c r="NES23"/>
      <c r="NET23"/>
      <c r="NEU23"/>
      <c r="NEV23"/>
      <c r="NEW23"/>
      <c r="NEX23"/>
      <c r="NEY23"/>
      <c r="NEZ23"/>
      <c r="NFA23"/>
      <c r="NFB23"/>
      <c r="NFC23"/>
      <c r="NFD23"/>
      <c r="NFE23"/>
      <c r="NFF23"/>
      <c r="NFG23"/>
      <c r="NFH23"/>
      <c r="NFI23"/>
      <c r="NFJ23"/>
      <c r="NFK23"/>
      <c r="NFL23"/>
      <c r="NFM23"/>
      <c r="NFN23"/>
      <c r="NFO23"/>
      <c r="NFP23"/>
      <c r="NFQ23"/>
      <c r="NFR23"/>
      <c r="NFS23"/>
      <c r="NFT23"/>
      <c r="NFU23"/>
      <c r="NFV23"/>
      <c r="NFW23"/>
      <c r="NFX23"/>
      <c r="NFY23"/>
      <c r="NFZ23"/>
      <c r="NGA23"/>
      <c r="NGB23"/>
      <c r="NGC23"/>
      <c r="NGD23"/>
      <c r="NGE23"/>
      <c r="NGF23"/>
      <c r="NGG23"/>
      <c r="NGH23"/>
      <c r="NGI23"/>
      <c r="NGJ23"/>
      <c r="NGK23"/>
      <c r="NGL23"/>
      <c r="NGM23"/>
      <c r="NGN23"/>
      <c r="NGO23"/>
      <c r="NGP23"/>
      <c r="NGQ23"/>
      <c r="NGR23"/>
      <c r="NGS23"/>
      <c r="NGT23"/>
      <c r="NGU23"/>
      <c r="NGV23"/>
      <c r="NGW23"/>
      <c r="NGX23"/>
      <c r="NGY23"/>
      <c r="NGZ23"/>
      <c r="NHA23"/>
      <c r="NHB23"/>
      <c r="NHC23"/>
      <c r="NHD23"/>
      <c r="NHE23"/>
      <c r="NHF23"/>
      <c r="NHG23"/>
      <c r="NHH23"/>
      <c r="NHI23"/>
      <c r="NHJ23"/>
      <c r="NHK23"/>
      <c r="NHL23"/>
      <c r="NHM23"/>
      <c r="NHN23"/>
      <c r="NHO23"/>
      <c r="NHP23"/>
      <c r="NHQ23"/>
      <c r="NHR23"/>
      <c r="NHS23"/>
      <c r="NHT23"/>
      <c r="NHU23"/>
      <c r="NHV23"/>
      <c r="NHW23"/>
      <c r="NHX23"/>
      <c r="NHY23"/>
      <c r="NHZ23"/>
      <c r="NIA23"/>
      <c r="NIB23"/>
      <c r="NIC23"/>
      <c r="NID23"/>
      <c r="NIE23"/>
      <c r="NIF23"/>
      <c r="NIG23"/>
      <c r="NIH23"/>
      <c r="NII23"/>
      <c r="NIJ23"/>
      <c r="NIK23"/>
      <c r="NIL23"/>
      <c r="NIM23"/>
      <c r="NIN23"/>
      <c r="NIO23"/>
      <c r="NIP23"/>
      <c r="NIQ23"/>
      <c r="NIR23"/>
      <c r="NIS23"/>
      <c r="NIT23"/>
      <c r="NIU23"/>
      <c r="NIV23"/>
      <c r="NIW23"/>
      <c r="NIX23"/>
      <c r="NIY23"/>
      <c r="NIZ23"/>
      <c r="NJA23"/>
      <c r="NJB23"/>
      <c r="NJC23"/>
      <c r="NJD23"/>
      <c r="NJE23"/>
      <c r="NJF23"/>
      <c r="NJG23"/>
      <c r="NJH23"/>
      <c r="NJI23"/>
      <c r="NJJ23"/>
      <c r="NJK23"/>
      <c r="NJL23"/>
      <c r="NJM23"/>
      <c r="NJN23"/>
      <c r="NJO23"/>
      <c r="NJP23"/>
      <c r="NJQ23"/>
      <c r="NJR23"/>
      <c r="NJS23"/>
      <c r="NJT23"/>
      <c r="NJU23"/>
      <c r="NJV23"/>
      <c r="NJW23"/>
      <c r="NJX23"/>
      <c r="NJY23"/>
      <c r="NJZ23"/>
      <c r="NKA23"/>
      <c r="NKB23"/>
      <c r="NKC23"/>
      <c r="NKD23"/>
      <c r="NKE23"/>
      <c r="NKF23"/>
      <c r="NKG23"/>
      <c r="NKH23"/>
      <c r="NKI23"/>
      <c r="NKJ23"/>
      <c r="NKK23"/>
      <c r="NKL23"/>
      <c r="NKM23"/>
      <c r="NKN23"/>
      <c r="NKO23"/>
      <c r="NKP23"/>
      <c r="NKQ23"/>
      <c r="NKR23"/>
      <c r="NKS23"/>
      <c r="NKT23"/>
      <c r="NKU23"/>
      <c r="NKV23"/>
      <c r="NKW23"/>
      <c r="NKX23"/>
      <c r="NKY23"/>
      <c r="NKZ23"/>
      <c r="NLA23"/>
      <c r="NLB23"/>
      <c r="NLC23"/>
      <c r="NLD23"/>
      <c r="NLE23"/>
      <c r="NLF23"/>
      <c r="NLG23"/>
      <c r="NLH23"/>
      <c r="NLI23"/>
      <c r="NLJ23"/>
      <c r="NLK23"/>
      <c r="NLL23"/>
      <c r="NLM23"/>
      <c r="NLN23"/>
      <c r="NLO23"/>
      <c r="NLP23"/>
      <c r="NLQ23"/>
      <c r="NLR23"/>
      <c r="NLS23"/>
      <c r="NLT23"/>
      <c r="NLU23"/>
      <c r="NLV23"/>
      <c r="NLW23"/>
      <c r="NLX23"/>
      <c r="NLY23"/>
      <c r="NLZ23"/>
      <c r="NMA23"/>
      <c r="NMB23"/>
      <c r="NMC23"/>
      <c r="NMD23"/>
      <c r="NME23"/>
      <c r="NMF23"/>
      <c r="NMG23"/>
      <c r="NMH23"/>
      <c r="NMI23"/>
      <c r="NMJ23"/>
      <c r="NMK23"/>
      <c r="NML23"/>
      <c r="NMM23"/>
      <c r="NMN23"/>
      <c r="NMO23"/>
      <c r="NMP23"/>
      <c r="NMQ23"/>
      <c r="NMR23"/>
      <c r="NMS23"/>
      <c r="NMT23"/>
      <c r="NMU23"/>
      <c r="NMV23"/>
      <c r="NMW23"/>
      <c r="NMX23"/>
      <c r="NMY23"/>
      <c r="NMZ23"/>
      <c r="NNA23"/>
      <c r="NNB23"/>
      <c r="NNC23"/>
      <c r="NND23"/>
      <c r="NNE23"/>
      <c r="NNF23"/>
      <c r="NNG23"/>
      <c r="NNH23"/>
      <c r="NNI23"/>
      <c r="NNJ23"/>
      <c r="NNK23"/>
      <c r="NNL23"/>
      <c r="NNM23"/>
      <c r="NNN23"/>
      <c r="NNO23"/>
      <c r="NNP23"/>
      <c r="NNQ23"/>
      <c r="NNR23"/>
      <c r="NNS23"/>
      <c r="NNT23"/>
      <c r="NNU23"/>
      <c r="NNV23"/>
      <c r="NNW23"/>
      <c r="NNX23"/>
      <c r="NNY23"/>
      <c r="NNZ23"/>
      <c r="NOA23"/>
      <c r="NOB23"/>
      <c r="NOC23"/>
      <c r="NOD23"/>
      <c r="NOE23"/>
      <c r="NOF23"/>
      <c r="NOG23"/>
      <c r="NOH23"/>
      <c r="NOI23"/>
      <c r="NOJ23"/>
      <c r="NOK23"/>
      <c r="NOL23"/>
      <c r="NOM23"/>
      <c r="NON23"/>
      <c r="NOO23"/>
      <c r="NOP23"/>
      <c r="NOQ23"/>
      <c r="NOR23"/>
      <c r="NOS23"/>
      <c r="NOT23"/>
      <c r="NOU23"/>
      <c r="NOV23"/>
      <c r="NOW23"/>
      <c r="NOX23"/>
      <c r="NOY23"/>
      <c r="NOZ23"/>
      <c r="NPA23"/>
      <c r="NPB23"/>
      <c r="NPC23"/>
      <c r="NPD23"/>
      <c r="NPE23"/>
      <c r="NPF23"/>
      <c r="NPG23"/>
      <c r="NPH23"/>
      <c r="NPI23"/>
      <c r="NPJ23"/>
      <c r="NPK23"/>
      <c r="NPL23"/>
      <c r="NPM23"/>
      <c r="NPN23"/>
      <c r="NPO23"/>
      <c r="NPP23"/>
      <c r="NPQ23"/>
      <c r="NPR23"/>
      <c r="NPS23"/>
      <c r="NPT23"/>
      <c r="NPU23"/>
      <c r="NPV23"/>
      <c r="NPW23"/>
      <c r="NPX23"/>
      <c r="NPY23"/>
      <c r="NPZ23"/>
      <c r="NQA23"/>
      <c r="NQB23"/>
      <c r="NQC23"/>
      <c r="NQD23"/>
      <c r="NQE23"/>
      <c r="NQF23"/>
      <c r="NQG23"/>
      <c r="NQH23"/>
      <c r="NQI23"/>
      <c r="NQJ23"/>
      <c r="NQK23"/>
      <c r="NQL23"/>
      <c r="NQM23"/>
      <c r="NQN23"/>
      <c r="NQO23"/>
      <c r="NQP23"/>
      <c r="NQQ23"/>
      <c r="NQR23"/>
      <c r="NQS23"/>
      <c r="NQT23"/>
      <c r="NQU23"/>
      <c r="NQV23"/>
      <c r="NQW23"/>
      <c r="NQX23"/>
      <c r="NQY23"/>
      <c r="NQZ23"/>
      <c r="NRA23"/>
      <c r="NRB23"/>
      <c r="NRC23"/>
      <c r="NRD23"/>
      <c r="NRE23"/>
      <c r="NRF23"/>
      <c r="NRG23"/>
      <c r="NRH23"/>
      <c r="NRI23"/>
      <c r="NRJ23"/>
      <c r="NRK23"/>
      <c r="NRL23"/>
      <c r="NRM23"/>
      <c r="NRN23"/>
      <c r="NRO23"/>
      <c r="NRP23"/>
      <c r="NRQ23"/>
      <c r="NRR23"/>
      <c r="NRS23"/>
      <c r="NRT23"/>
      <c r="NRU23"/>
      <c r="NRV23"/>
      <c r="NRW23"/>
      <c r="NRX23"/>
      <c r="NRY23"/>
      <c r="NRZ23"/>
      <c r="NSA23"/>
      <c r="NSB23"/>
      <c r="NSC23"/>
      <c r="NSD23"/>
      <c r="NSE23"/>
      <c r="NSF23"/>
      <c r="NSG23"/>
      <c r="NSH23"/>
      <c r="NSI23"/>
      <c r="NSJ23"/>
      <c r="NSK23"/>
      <c r="NSL23"/>
      <c r="NSM23"/>
      <c r="NSN23"/>
      <c r="NSO23"/>
      <c r="NSP23"/>
      <c r="NSQ23"/>
      <c r="NSR23"/>
      <c r="NSS23"/>
      <c r="NST23"/>
      <c r="NSU23"/>
      <c r="NSV23"/>
      <c r="NSW23"/>
      <c r="NSX23"/>
      <c r="NSY23"/>
      <c r="NSZ23"/>
      <c r="NTA23"/>
      <c r="NTB23"/>
      <c r="NTC23"/>
      <c r="NTD23"/>
      <c r="NTE23"/>
      <c r="NTF23"/>
      <c r="NTG23"/>
      <c r="NTH23"/>
      <c r="NTI23"/>
      <c r="NTJ23"/>
      <c r="NTK23"/>
      <c r="NTL23"/>
      <c r="NTM23"/>
      <c r="NTN23"/>
      <c r="NTO23"/>
      <c r="NTP23"/>
      <c r="NTQ23"/>
      <c r="NTR23"/>
      <c r="NTS23"/>
      <c r="NTT23"/>
      <c r="NTU23"/>
      <c r="NTV23"/>
      <c r="NTW23"/>
      <c r="NTX23"/>
      <c r="NTY23"/>
      <c r="NTZ23"/>
      <c r="NUA23"/>
      <c r="NUB23"/>
      <c r="NUC23"/>
      <c r="NUD23"/>
      <c r="NUE23"/>
      <c r="NUF23"/>
      <c r="NUG23"/>
      <c r="NUH23"/>
      <c r="NUI23"/>
      <c r="NUJ23"/>
      <c r="NUK23"/>
      <c r="NUL23"/>
      <c r="NUM23"/>
      <c r="NUN23"/>
      <c r="NUO23"/>
      <c r="NUP23"/>
      <c r="NUQ23"/>
      <c r="NUR23"/>
      <c r="NUS23"/>
      <c r="NUT23"/>
      <c r="NUU23"/>
      <c r="NUV23"/>
      <c r="NUW23"/>
      <c r="NUX23"/>
      <c r="NUY23"/>
      <c r="NUZ23"/>
      <c r="NVA23"/>
      <c r="NVB23"/>
      <c r="NVC23"/>
      <c r="NVD23"/>
      <c r="NVE23"/>
      <c r="NVF23"/>
      <c r="NVG23"/>
      <c r="NVH23"/>
      <c r="NVI23"/>
      <c r="NVJ23"/>
      <c r="NVK23"/>
      <c r="NVL23"/>
      <c r="NVM23"/>
      <c r="NVN23"/>
      <c r="NVO23"/>
      <c r="NVP23"/>
      <c r="NVQ23"/>
      <c r="NVR23"/>
      <c r="NVS23"/>
      <c r="NVT23"/>
      <c r="NVU23"/>
      <c r="NVV23"/>
      <c r="NVW23"/>
      <c r="NVX23"/>
      <c r="NVY23"/>
      <c r="NVZ23"/>
      <c r="NWA23"/>
      <c r="NWB23"/>
      <c r="NWC23"/>
      <c r="NWD23"/>
      <c r="NWE23"/>
      <c r="NWF23"/>
      <c r="NWG23"/>
      <c r="NWH23"/>
      <c r="NWI23"/>
      <c r="NWJ23"/>
      <c r="NWK23"/>
      <c r="NWL23"/>
      <c r="NWM23"/>
      <c r="NWN23"/>
      <c r="NWO23"/>
      <c r="NWP23"/>
      <c r="NWQ23"/>
      <c r="NWR23"/>
      <c r="NWS23"/>
      <c r="NWT23"/>
      <c r="NWU23"/>
      <c r="NWV23"/>
      <c r="NWW23"/>
      <c r="NWX23"/>
      <c r="NWY23"/>
      <c r="NWZ23"/>
      <c r="NXA23"/>
      <c r="NXB23"/>
      <c r="NXC23"/>
      <c r="NXD23"/>
      <c r="NXE23"/>
      <c r="NXF23"/>
      <c r="NXG23"/>
      <c r="NXH23"/>
      <c r="NXI23"/>
      <c r="NXJ23"/>
      <c r="NXK23"/>
      <c r="NXL23"/>
      <c r="NXM23"/>
      <c r="NXN23"/>
      <c r="NXO23"/>
      <c r="NXP23"/>
      <c r="NXQ23"/>
      <c r="NXR23"/>
      <c r="NXS23"/>
      <c r="NXT23"/>
      <c r="NXU23"/>
      <c r="NXV23"/>
      <c r="NXW23"/>
      <c r="NXX23"/>
      <c r="NXY23"/>
      <c r="NXZ23"/>
      <c r="NYA23"/>
      <c r="NYB23"/>
      <c r="NYC23"/>
      <c r="NYD23"/>
      <c r="NYE23"/>
      <c r="NYF23"/>
      <c r="NYG23"/>
      <c r="NYH23"/>
      <c r="NYI23"/>
      <c r="NYJ23"/>
      <c r="NYK23"/>
      <c r="NYL23"/>
      <c r="NYM23"/>
      <c r="NYN23"/>
      <c r="NYO23"/>
      <c r="NYP23"/>
      <c r="NYQ23"/>
      <c r="NYR23"/>
      <c r="NYS23"/>
      <c r="NYT23"/>
      <c r="NYU23"/>
      <c r="NYV23"/>
      <c r="NYW23"/>
      <c r="NYX23"/>
      <c r="NYY23"/>
      <c r="NYZ23"/>
      <c r="NZA23"/>
      <c r="NZB23"/>
      <c r="NZC23"/>
      <c r="NZD23"/>
      <c r="NZE23"/>
      <c r="NZF23"/>
      <c r="NZG23"/>
      <c r="NZH23"/>
      <c r="NZI23"/>
      <c r="NZJ23"/>
      <c r="NZK23"/>
      <c r="NZL23"/>
      <c r="NZM23"/>
      <c r="NZN23"/>
      <c r="NZO23"/>
      <c r="NZP23"/>
      <c r="NZQ23"/>
      <c r="NZR23"/>
      <c r="NZS23"/>
      <c r="NZT23"/>
      <c r="NZU23"/>
      <c r="NZV23"/>
      <c r="NZW23"/>
      <c r="NZX23"/>
      <c r="NZY23"/>
      <c r="NZZ23"/>
      <c r="OAA23"/>
      <c r="OAB23"/>
      <c r="OAC23"/>
      <c r="OAD23"/>
      <c r="OAE23"/>
      <c r="OAF23"/>
      <c r="OAG23"/>
      <c r="OAH23"/>
      <c r="OAI23"/>
      <c r="OAJ23"/>
      <c r="OAK23"/>
      <c r="OAL23"/>
      <c r="OAM23"/>
      <c r="OAN23"/>
      <c r="OAO23"/>
      <c r="OAP23"/>
      <c r="OAQ23"/>
      <c r="OAR23"/>
      <c r="OAS23"/>
      <c r="OAT23"/>
      <c r="OAU23"/>
      <c r="OAV23"/>
      <c r="OAW23"/>
      <c r="OAX23"/>
      <c r="OAY23"/>
      <c r="OAZ23"/>
      <c r="OBA23"/>
      <c r="OBB23"/>
      <c r="OBC23"/>
      <c r="OBD23"/>
      <c r="OBE23"/>
      <c r="OBF23"/>
      <c r="OBG23"/>
      <c r="OBH23"/>
      <c r="OBI23"/>
      <c r="OBJ23"/>
      <c r="OBK23"/>
      <c r="OBL23"/>
      <c r="OBM23"/>
      <c r="OBN23"/>
      <c r="OBO23"/>
      <c r="OBP23"/>
      <c r="OBQ23"/>
      <c r="OBR23"/>
      <c r="OBS23"/>
      <c r="OBT23"/>
      <c r="OBU23"/>
      <c r="OBV23"/>
      <c r="OBW23"/>
      <c r="OBX23"/>
      <c r="OBY23"/>
      <c r="OBZ23"/>
      <c r="OCA23"/>
      <c r="OCB23"/>
      <c r="OCC23"/>
      <c r="OCD23"/>
      <c r="OCE23"/>
      <c r="OCF23"/>
      <c r="OCG23"/>
      <c r="OCH23"/>
      <c r="OCI23"/>
      <c r="OCJ23"/>
      <c r="OCK23"/>
      <c r="OCL23"/>
      <c r="OCM23"/>
      <c r="OCN23"/>
      <c r="OCO23"/>
      <c r="OCP23"/>
      <c r="OCQ23"/>
      <c r="OCR23"/>
      <c r="OCS23"/>
      <c r="OCT23"/>
      <c r="OCU23"/>
      <c r="OCV23"/>
      <c r="OCW23"/>
      <c r="OCX23"/>
      <c r="OCY23"/>
      <c r="OCZ23"/>
      <c r="ODA23"/>
      <c r="ODB23"/>
      <c r="ODC23"/>
      <c r="ODD23"/>
      <c r="ODE23"/>
      <c r="ODF23"/>
      <c r="ODG23"/>
      <c r="ODH23"/>
      <c r="ODI23"/>
      <c r="ODJ23"/>
      <c r="ODK23"/>
      <c r="ODL23"/>
      <c r="ODM23"/>
      <c r="ODN23"/>
      <c r="ODO23"/>
      <c r="ODP23"/>
      <c r="ODQ23"/>
      <c r="ODR23"/>
      <c r="ODS23"/>
      <c r="ODT23"/>
      <c r="ODU23"/>
      <c r="ODV23"/>
      <c r="ODW23"/>
      <c r="ODX23"/>
      <c r="ODY23"/>
      <c r="ODZ23"/>
      <c r="OEA23"/>
      <c r="OEB23"/>
      <c r="OEC23"/>
      <c r="OED23"/>
      <c r="OEE23"/>
      <c r="OEF23"/>
      <c r="OEG23"/>
      <c r="OEH23"/>
      <c r="OEI23"/>
      <c r="OEJ23"/>
      <c r="OEK23"/>
      <c r="OEL23"/>
      <c r="OEM23"/>
      <c r="OEN23"/>
      <c r="OEO23"/>
      <c r="OEP23"/>
      <c r="OEQ23"/>
      <c r="OER23"/>
      <c r="OES23"/>
      <c r="OET23"/>
      <c r="OEU23"/>
      <c r="OEV23"/>
      <c r="OEW23"/>
      <c r="OEX23"/>
      <c r="OEY23"/>
      <c r="OEZ23"/>
      <c r="OFA23"/>
      <c r="OFB23"/>
      <c r="OFC23"/>
      <c r="OFD23"/>
      <c r="OFE23"/>
      <c r="OFF23"/>
      <c r="OFG23"/>
      <c r="OFH23"/>
      <c r="OFI23"/>
      <c r="OFJ23"/>
      <c r="OFK23"/>
      <c r="OFL23"/>
      <c r="OFM23"/>
      <c r="OFN23"/>
      <c r="OFO23"/>
      <c r="OFP23"/>
      <c r="OFQ23"/>
      <c r="OFR23"/>
      <c r="OFS23"/>
      <c r="OFT23"/>
      <c r="OFU23"/>
      <c r="OFV23"/>
      <c r="OFW23"/>
      <c r="OFX23"/>
      <c r="OFY23"/>
      <c r="OFZ23"/>
      <c r="OGA23"/>
      <c r="OGB23"/>
      <c r="OGC23"/>
      <c r="OGD23"/>
      <c r="OGE23"/>
      <c r="OGF23"/>
      <c r="OGG23"/>
      <c r="OGH23"/>
      <c r="OGI23"/>
      <c r="OGJ23"/>
      <c r="OGK23"/>
      <c r="OGL23"/>
      <c r="OGM23"/>
      <c r="OGN23"/>
      <c r="OGO23"/>
      <c r="OGP23"/>
      <c r="OGQ23"/>
      <c r="OGR23"/>
      <c r="OGS23"/>
      <c r="OGT23"/>
      <c r="OGU23"/>
      <c r="OGV23"/>
      <c r="OGW23"/>
      <c r="OGX23"/>
      <c r="OGY23"/>
      <c r="OGZ23"/>
      <c r="OHA23"/>
      <c r="OHB23"/>
      <c r="OHC23"/>
      <c r="OHD23"/>
      <c r="OHE23"/>
      <c r="OHF23"/>
      <c r="OHG23"/>
      <c r="OHH23"/>
      <c r="OHI23"/>
      <c r="OHJ23"/>
      <c r="OHK23"/>
      <c r="OHL23"/>
      <c r="OHM23"/>
      <c r="OHN23"/>
      <c r="OHO23"/>
      <c r="OHP23"/>
      <c r="OHQ23"/>
      <c r="OHR23"/>
      <c r="OHS23"/>
      <c r="OHT23"/>
      <c r="OHU23"/>
      <c r="OHV23"/>
      <c r="OHW23"/>
      <c r="OHX23"/>
      <c r="OHY23"/>
      <c r="OHZ23"/>
      <c r="OIA23"/>
      <c r="OIB23"/>
      <c r="OIC23"/>
      <c r="OID23"/>
      <c r="OIE23"/>
      <c r="OIF23"/>
      <c r="OIG23"/>
      <c r="OIH23"/>
      <c r="OII23"/>
      <c r="OIJ23"/>
      <c r="OIK23"/>
      <c r="OIL23"/>
      <c r="OIM23"/>
      <c r="OIN23"/>
      <c r="OIO23"/>
      <c r="OIP23"/>
      <c r="OIQ23"/>
      <c r="OIR23"/>
      <c r="OIS23"/>
      <c r="OIT23"/>
      <c r="OIU23"/>
      <c r="OIV23"/>
      <c r="OIW23"/>
      <c r="OIX23"/>
      <c r="OIY23"/>
      <c r="OIZ23"/>
      <c r="OJA23"/>
      <c r="OJB23"/>
      <c r="OJC23"/>
      <c r="OJD23"/>
      <c r="OJE23"/>
      <c r="OJF23"/>
      <c r="OJG23"/>
      <c r="OJH23"/>
      <c r="OJI23"/>
      <c r="OJJ23"/>
      <c r="OJK23"/>
      <c r="OJL23"/>
      <c r="OJM23"/>
      <c r="OJN23"/>
      <c r="OJO23"/>
      <c r="OJP23"/>
      <c r="OJQ23"/>
      <c r="OJR23"/>
      <c r="OJS23"/>
      <c r="OJT23"/>
      <c r="OJU23"/>
      <c r="OJV23"/>
      <c r="OJW23"/>
      <c r="OJX23"/>
      <c r="OJY23"/>
      <c r="OJZ23"/>
      <c r="OKA23"/>
      <c r="OKB23"/>
      <c r="OKC23"/>
      <c r="OKD23"/>
      <c r="OKE23"/>
      <c r="OKF23"/>
      <c r="OKG23"/>
      <c r="OKH23"/>
      <c r="OKI23"/>
      <c r="OKJ23"/>
      <c r="OKK23"/>
      <c r="OKL23"/>
      <c r="OKM23"/>
      <c r="OKN23"/>
      <c r="OKO23"/>
      <c r="OKP23"/>
      <c r="OKQ23"/>
      <c r="OKR23"/>
      <c r="OKS23"/>
      <c r="OKT23"/>
      <c r="OKU23"/>
      <c r="OKV23"/>
      <c r="OKW23"/>
      <c r="OKX23"/>
      <c r="OKY23"/>
      <c r="OKZ23"/>
      <c r="OLA23"/>
      <c r="OLB23"/>
      <c r="OLC23"/>
      <c r="OLD23"/>
      <c r="OLE23"/>
      <c r="OLF23"/>
      <c r="OLG23"/>
      <c r="OLH23"/>
      <c r="OLI23"/>
      <c r="OLJ23"/>
      <c r="OLK23"/>
      <c r="OLL23"/>
      <c r="OLM23"/>
      <c r="OLN23"/>
      <c r="OLO23"/>
      <c r="OLP23"/>
      <c r="OLQ23"/>
      <c r="OLR23"/>
      <c r="OLS23"/>
      <c r="OLT23"/>
      <c r="OLU23"/>
      <c r="OLV23"/>
      <c r="OLW23"/>
      <c r="OLX23"/>
      <c r="OLY23"/>
      <c r="OLZ23"/>
      <c r="OMA23"/>
      <c r="OMB23"/>
      <c r="OMC23"/>
      <c r="OMD23"/>
      <c r="OME23"/>
      <c r="OMF23"/>
      <c r="OMG23"/>
      <c r="OMH23"/>
      <c r="OMI23"/>
      <c r="OMJ23"/>
      <c r="OMK23"/>
      <c r="OML23"/>
      <c r="OMM23"/>
      <c r="OMN23"/>
      <c r="OMO23"/>
      <c r="OMP23"/>
      <c r="OMQ23"/>
      <c r="OMR23"/>
      <c r="OMS23"/>
      <c r="OMT23"/>
      <c r="OMU23"/>
      <c r="OMV23"/>
      <c r="OMW23"/>
      <c r="OMX23"/>
      <c r="OMY23"/>
      <c r="OMZ23"/>
      <c r="ONA23"/>
      <c r="ONB23"/>
      <c r="ONC23"/>
      <c r="OND23"/>
      <c r="ONE23"/>
      <c r="ONF23"/>
      <c r="ONG23"/>
      <c r="ONH23"/>
      <c r="ONI23"/>
      <c r="ONJ23"/>
      <c r="ONK23"/>
      <c r="ONL23"/>
      <c r="ONM23"/>
      <c r="ONN23"/>
      <c r="ONO23"/>
      <c r="ONP23"/>
      <c r="ONQ23"/>
      <c r="ONR23"/>
      <c r="ONS23"/>
      <c r="ONT23"/>
      <c r="ONU23"/>
      <c r="ONV23"/>
      <c r="ONW23"/>
      <c r="ONX23"/>
      <c r="ONY23"/>
      <c r="ONZ23"/>
      <c r="OOA23"/>
      <c r="OOB23"/>
      <c r="OOC23"/>
      <c r="OOD23"/>
      <c r="OOE23"/>
      <c r="OOF23"/>
      <c r="OOG23"/>
      <c r="OOH23"/>
      <c r="OOI23"/>
      <c r="OOJ23"/>
      <c r="OOK23"/>
      <c r="OOL23"/>
      <c r="OOM23"/>
      <c r="OON23"/>
      <c r="OOO23"/>
      <c r="OOP23"/>
      <c r="OOQ23"/>
      <c r="OOR23"/>
      <c r="OOS23"/>
      <c r="OOT23"/>
      <c r="OOU23"/>
      <c r="OOV23"/>
      <c r="OOW23"/>
      <c r="OOX23"/>
      <c r="OOY23"/>
      <c r="OOZ23"/>
      <c r="OPA23"/>
      <c r="OPB23"/>
      <c r="OPC23"/>
      <c r="OPD23"/>
      <c r="OPE23"/>
      <c r="OPF23"/>
      <c r="OPG23"/>
      <c r="OPH23"/>
      <c r="OPI23"/>
      <c r="OPJ23"/>
      <c r="OPK23"/>
      <c r="OPL23"/>
      <c r="OPM23"/>
      <c r="OPN23"/>
      <c r="OPO23"/>
      <c r="OPP23"/>
      <c r="OPQ23"/>
      <c r="OPR23"/>
      <c r="OPS23"/>
      <c r="OPT23"/>
      <c r="OPU23"/>
      <c r="OPV23"/>
      <c r="OPW23"/>
      <c r="OPX23"/>
      <c r="OPY23"/>
      <c r="OPZ23"/>
      <c r="OQA23"/>
      <c r="OQB23"/>
      <c r="OQC23"/>
      <c r="OQD23"/>
      <c r="OQE23"/>
      <c r="OQF23"/>
      <c r="OQG23"/>
      <c r="OQH23"/>
      <c r="OQI23"/>
      <c r="OQJ23"/>
      <c r="OQK23"/>
      <c r="OQL23"/>
      <c r="OQM23"/>
      <c r="OQN23"/>
      <c r="OQO23"/>
      <c r="OQP23"/>
      <c r="OQQ23"/>
      <c r="OQR23"/>
      <c r="OQS23"/>
      <c r="OQT23"/>
      <c r="OQU23"/>
      <c r="OQV23"/>
      <c r="OQW23"/>
      <c r="OQX23"/>
      <c r="OQY23"/>
      <c r="OQZ23"/>
      <c r="ORA23"/>
      <c r="ORB23"/>
      <c r="ORC23"/>
      <c r="ORD23"/>
      <c r="ORE23"/>
      <c r="ORF23"/>
      <c r="ORG23"/>
      <c r="ORH23"/>
      <c r="ORI23"/>
      <c r="ORJ23"/>
      <c r="ORK23"/>
      <c r="ORL23"/>
      <c r="ORM23"/>
      <c r="ORN23"/>
      <c r="ORO23"/>
      <c r="ORP23"/>
      <c r="ORQ23"/>
      <c r="ORR23"/>
      <c r="ORS23"/>
      <c r="ORT23"/>
      <c r="ORU23"/>
      <c r="ORV23"/>
      <c r="ORW23"/>
      <c r="ORX23"/>
      <c r="ORY23"/>
      <c r="ORZ23"/>
      <c r="OSA23"/>
      <c r="OSB23"/>
      <c r="OSC23"/>
      <c r="OSD23"/>
      <c r="OSE23"/>
      <c r="OSF23"/>
      <c r="OSG23"/>
      <c r="OSH23"/>
      <c r="OSI23"/>
      <c r="OSJ23"/>
      <c r="OSK23"/>
      <c r="OSL23"/>
      <c r="OSM23"/>
      <c r="OSN23"/>
      <c r="OSO23"/>
      <c r="OSP23"/>
      <c r="OSQ23"/>
      <c r="OSR23"/>
      <c r="OSS23"/>
      <c r="OST23"/>
      <c r="OSU23"/>
      <c r="OSV23"/>
      <c r="OSW23"/>
      <c r="OSX23"/>
      <c r="OSY23"/>
      <c r="OSZ23"/>
      <c r="OTA23"/>
      <c r="OTB23"/>
      <c r="OTC23"/>
      <c r="OTD23"/>
      <c r="OTE23"/>
      <c r="OTF23"/>
      <c r="OTG23"/>
      <c r="OTH23"/>
      <c r="OTI23"/>
      <c r="OTJ23"/>
      <c r="OTK23"/>
      <c r="OTL23"/>
      <c r="OTM23"/>
      <c r="OTN23"/>
      <c r="OTO23"/>
      <c r="OTP23"/>
      <c r="OTQ23"/>
      <c r="OTR23"/>
      <c r="OTS23"/>
      <c r="OTT23"/>
      <c r="OTU23"/>
      <c r="OTV23"/>
      <c r="OTW23"/>
      <c r="OTX23"/>
      <c r="OTY23"/>
      <c r="OTZ23"/>
      <c r="OUA23"/>
      <c r="OUB23"/>
      <c r="OUC23"/>
      <c r="OUD23"/>
      <c r="OUE23"/>
      <c r="OUF23"/>
      <c r="OUG23"/>
      <c r="OUH23"/>
      <c r="OUI23"/>
      <c r="OUJ23"/>
      <c r="OUK23"/>
      <c r="OUL23"/>
      <c r="OUM23"/>
      <c r="OUN23"/>
      <c r="OUO23"/>
      <c r="OUP23"/>
      <c r="OUQ23"/>
      <c r="OUR23"/>
      <c r="OUS23"/>
      <c r="OUT23"/>
      <c r="OUU23"/>
      <c r="OUV23"/>
      <c r="OUW23"/>
      <c r="OUX23"/>
      <c r="OUY23"/>
      <c r="OUZ23"/>
      <c r="OVA23"/>
      <c r="OVB23"/>
      <c r="OVC23"/>
      <c r="OVD23"/>
      <c r="OVE23"/>
      <c r="OVF23"/>
      <c r="OVG23"/>
      <c r="OVH23"/>
      <c r="OVI23"/>
      <c r="OVJ23"/>
      <c r="OVK23"/>
      <c r="OVL23"/>
      <c r="OVM23"/>
      <c r="OVN23"/>
      <c r="OVO23"/>
      <c r="OVP23"/>
      <c r="OVQ23"/>
      <c r="OVR23"/>
      <c r="OVS23"/>
      <c r="OVT23"/>
      <c r="OVU23"/>
      <c r="OVV23"/>
      <c r="OVW23"/>
      <c r="OVX23"/>
      <c r="OVY23"/>
      <c r="OVZ23"/>
      <c r="OWA23"/>
      <c r="OWB23"/>
      <c r="OWC23"/>
      <c r="OWD23"/>
      <c r="OWE23"/>
      <c r="OWF23"/>
      <c r="OWG23"/>
      <c r="OWH23"/>
      <c r="OWI23"/>
      <c r="OWJ23"/>
      <c r="OWK23"/>
      <c r="OWL23"/>
      <c r="OWM23"/>
      <c r="OWN23"/>
      <c r="OWO23"/>
      <c r="OWP23"/>
      <c r="OWQ23"/>
      <c r="OWR23"/>
      <c r="OWS23"/>
      <c r="OWT23"/>
      <c r="OWU23"/>
      <c r="OWV23"/>
      <c r="OWW23"/>
      <c r="OWX23"/>
      <c r="OWY23"/>
      <c r="OWZ23"/>
      <c r="OXA23"/>
      <c r="OXB23"/>
      <c r="OXC23"/>
      <c r="OXD23"/>
      <c r="OXE23"/>
      <c r="OXF23"/>
      <c r="OXG23"/>
      <c r="OXH23"/>
      <c r="OXI23"/>
      <c r="OXJ23"/>
      <c r="OXK23"/>
      <c r="OXL23"/>
      <c r="OXM23"/>
      <c r="OXN23"/>
      <c r="OXO23"/>
      <c r="OXP23"/>
      <c r="OXQ23"/>
      <c r="OXR23"/>
      <c r="OXS23"/>
      <c r="OXT23"/>
      <c r="OXU23"/>
      <c r="OXV23"/>
      <c r="OXW23"/>
      <c r="OXX23"/>
      <c r="OXY23"/>
      <c r="OXZ23"/>
      <c r="OYA23"/>
      <c r="OYB23"/>
      <c r="OYC23"/>
      <c r="OYD23"/>
      <c r="OYE23"/>
      <c r="OYF23"/>
      <c r="OYG23"/>
      <c r="OYH23"/>
      <c r="OYI23"/>
      <c r="OYJ23"/>
      <c r="OYK23"/>
      <c r="OYL23"/>
      <c r="OYM23"/>
      <c r="OYN23"/>
      <c r="OYO23"/>
      <c r="OYP23"/>
      <c r="OYQ23"/>
      <c r="OYR23"/>
      <c r="OYS23"/>
      <c r="OYT23"/>
      <c r="OYU23"/>
      <c r="OYV23"/>
      <c r="OYW23"/>
      <c r="OYX23"/>
      <c r="OYY23"/>
      <c r="OYZ23"/>
      <c r="OZA23"/>
      <c r="OZB23"/>
      <c r="OZC23"/>
      <c r="OZD23"/>
      <c r="OZE23"/>
      <c r="OZF23"/>
      <c r="OZG23"/>
      <c r="OZH23"/>
      <c r="OZI23"/>
      <c r="OZJ23"/>
      <c r="OZK23"/>
      <c r="OZL23"/>
      <c r="OZM23"/>
      <c r="OZN23"/>
      <c r="OZO23"/>
      <c r="OZP23"/>
      <c r="OZQ23"/>
      <c r="OZR23"/>
      <c r="OZS23"/>
      <c r="OZT23"/>
      <c r="OZU23"/>
      <c r="OZV23"/>
      <c r="OZW23"/>
      <c r="OZX23"/>
      <c r="OZY23"/>
      <c r="OZZ23"/>
      <c r="PAA23"/>
      <c r="PAB23"/>
      <c r="PAC23"/>
      <c r="PAD23"/>
      <c r="PAE23"/>
      <c r="PAF23"/>
      <c r="PAG23"/>
      <c r="PAH23"/>
      <c r="PAI23"/>
      <c r="PAJ23"/>
      <c r="PAK23"/>
      <c r="PAL23"/>
      <c r="PAM23"/>
      <c r="PAN23"/>
      <c r="PAO23"/>
      <c r="PAP23"/>
      <c r="PAQ23"/>
      <c r="PAR23"/>
      <c r="PAS23"/>
      <c r="PAT23"/>
      <c r="PAU23"/>
      <c r="PAV23"/>
      <c r="PAW23"/>
      <c r="PAX23"/>
      <c r="PAY23"/>
      <c r="PAZ23"/>
      <c r="PBA23"/>
      <c r="PBB23"/>
      <c r="PBC23"/>
      <c r="PBD23"/>
      <c r="PBE23"/>
      <c r="PBF23"/>
      <c r="PBG23"/>
      <c r="PBH23"/>
      <c r="PBI23"/>
      <c r="PBJ23"/>
      <c r="PBK23"/>
      <c r="PBL23"/>
      <c r="PBM23"/>
      <c r="PBN23"/>
      <c r="PBO23"/>
      <c r="PBP23"/>
      <c r="PBQ23"/>
      <c r="PBR23"/>
      <c r="PBS23"/>
      <c r="PBT23"/>
      <c r="PBU23"/>
      <c r="PBV23"/>
      <c r="PBW23"/>
      <c r="PBX23"/>
      <c r="PBY23"/>
      <c r="PBZ23"/>
      <c r="PCA23"/>
      <c r="PCB23"/>
      <c r="PCC23"/>
      <c r="PCD23"/>
      <c r="PCE23"/>
      <c r="PCF23"/>
      <c r="PCG23"/>
      <c r="PCH23"/>
      <c r="PCI23"/>
      <c r="PCJ23"/>
      <c r="PCK23"/>
      <c r="PCL23"/>
      <c r="PCM23"/>
      <c r="PCN23"/>
      <c r="PCO23"/>
      <c r="PCP23"/>
      <c r="PCQ23"/>
      <c r="PCR23"/>
      <c r="PCS23"/>
      <c r="PCT23"/>
      <c r="PCU23"/>
      <c r="PCV23"/>
      <c r="PCW23"/>
      <c r="PCX23"/>
      <c r="PCY23"/>
      <c r="PCZ23"/>
      <c r="PDA23"/>
      <c r="PDB23"/>
      <c r="PDC23"/>
      <c r="PDD23"/>
      <c r="PDE23"/>
      <c r="PDF23"/>
      <c r="PDG23"/>
      <c r="PDH23"/>
      <c r="PDI23"/>
      <c r="PDJ23"/>
      <c r="PDK23"/>
      <c r="PDL23"/>
      <c r="PDM23"/>
      <c r="PDN23"/>
      <c r="PDO23"/>
      <c r="PDP23"/>
      <c r="PDQ23"/>
      <c r="PDR23"/>
      <c r="PDS23"/>
      <c r="PDT23"/>
      <c r="PDU23"/>
      <c r="PDV23"/>
      <c r="PDW23"/>
      <c r="PDX23"/>
      <c r="PDY23"/>
      <c r="PDZ23"/>
      <c r="PEA23"/>
      <c r="PEB23"/>
      <c r="PEC23"/>
      <c r="PED23"/>
      <c r="PEE23"/>
      <c r="PEF23"/>
      <c r="PEG23"/>
      <c r="PEH23"/>
      <c r="PEI23"/>
      <c r="PEJ23"/>
      <c r="PEK23"/>
      <c r="PEL23"/>
      <c r="PEM23"/>
      <c r="PEN23"/>
      <c r="PEO23"/>
      <c r="PEP23"/>
      <c r="PEQ23"/>
      <c r="PER23"/>
      <c r="PES23"/>
      <c r="PET23"/>
      <c r="PEU23"/>
      <c r="PEV23"/>
      <c r="PEW23"/>
      <c r="PEX23"/>
      <c r="PEY23"/>
      <c r="PEZ23"/>
      <c r="PFA23"/>
      <c r="PFB23"/>
      <c r="PFC23"/>
      <c r="PFD23"/>
      <c r="PFE23"/>
      <c r="PFF23"/>
      <c r="PFG23"/>
      <c r="PFH23"/>
      <c r="PFI23"/>
      <c r="PFJ23"/>
      <c r="PFK23"/>
      <c r="PFL23"/>
      <c r="PFM23"/>
      <c r="PFN23"/>
      <c r="PFO23"/>
      <c r="PFP23"/>
      <c r="PFQ23"/>
      <c r="PFR23"/>
      <c r="PFS23"/>
      <c r="PFT23"/>
      <c r="PFU23"/>
      <c r="PFV23"/>
      <c r="PFW23"/>
      <c r="PFX23"/>
      <c r="PFY23"/>
      <c r="PFZ23"/>
      <c r="PGA23"/>
      <c r="PGB23"/>
      <c r="PGC23"/>
      <c r="PGD23"/>
      <c r="PGE23"/>
      <c r="PGF23"/>
      <c r="PGG23"/>
      <c r="PGH23"/>
      <c r="PGI23"/>
      <c r="PGJ23"/>
      <c r="PGK23"/>
      <c r="PGL23"/>
      <c r="PGM23"/>
      <c r="PGN23"/>
      <c r="PGO23"/>
      <c r="PGP23"/>
      <c r="PGQ23"/>
      <c r="PGR23"/>
      <c r="PGS23"/>
      <c r="PGT23"/>
      <c r="PGU23"/>
      <c r="PGV23"/>
      <c r="PGW23"/>
      <c r="PGX23"/>
      <c r="PGY23"/>
      <c r="PGZ23"/>
      <c r="PHA23"/>
      <c r="PHB23"/>
      <c r="PHC23"/>
      <c r="PHD23"/>
      <c r="PHE23"/>
      <c r="PHF23"/>
      <c r="PHG23"/>
      <c r="PHH23"/>
      <c r="PHI23"/>
      <c r="PHJ23"/>
      <c r="PHK23"/>
      <c r="PHL23"/>
      <c r="PHM23"/>
      <c r="PHN23"/>
      <c r="PHO23"/>
      <c r="PHP23"/>
      <c r="PHQ23"/>
      <c r="PHR23"/>
      <c r="PHS23"/>
      <c r="PHT23"/>
      <c r="PHU23"/>
      <c r="PHV23"/>
      <c r="PHW23"/>
      <c r="PHX23"/>
      <c r="PHY23"/>
      <c r="PHZ23"/>
      <c r="PIA23"/>
      <c r="PIB23"/>
      <c r="PIC23"/>
      <c r="PID23"/>
      <c r="PIE23"/>
      <c r="PIF23"/>
      <c r="PIG23"/>
      <c r="PIH23"/>
      <c r="PII23"/>
      <c r="PIJ23"/>
      <c r="PIK23"/>
      <c r="PIL23"/>
      <c r="PIM23"/>
      <c r="PIN23"/>
      <c r="PIO23"/>
      <c r="PIP23"/>
      <c r="PIQ23"/>
      <c r="PIR23"/>
      <c r="PIS23"/>
      <c r="PIT23"/>
      <c r="PIU23"/>
      <c r="PIV23"/>
      <c r="PIW23"/>
      <c r="PIX23"/>
      <c r="PIY23"/>
      <c r="PIZ23"/>
      <c r="PJA23"/>
      <c r="PJB23"/>
      <c r="PJC23"/>
      <c r="PJD23"/>
      <c r="PJE23"/>
      <c r="PJF23"/>
      <c r="PJG23"/>
      <c r="PJH23"/>
      <c r="PJI23"/>
      <c r="PJJ23"/>
      <c r="PJK23"/>
      <c r="PJL23"/>
      <c r="PJM23"/>
      <c r="PJN23"/>
      <c r="PJO23"/>
      <c r="PJP23"/>
      <c r="PJQ23"/>
      <c r="PJR23"/>
      <c r="PJS23"/>
      <c r="PJT23"/>
      <c r="PJU23"/>
      <c r="PJV23"/>
      <c r="PJW23"/>
      <c r="PJX23"/>
      <c r="PJY23"/>
      <c r="PJZ23"/>
      <c r="PKA23"/>
      <c r="PKB23"/>
      <c r="PKC23"/>
      <c r="PKD23"/>
      <c r="PKE23"/>
      <c r="PKF23"/>
      <c r="PKG23"/>
      <c r="PKH23"/>
      <c r="PKI23"/>
      <c r="PKJ23"/>
      <c r="PKK23"/>
      <c r="PKL23"/>
      <c r="PKM23"/>
      <c r="PKN23"/>
      <c r="PKO23"/>
      <c r="PKP23"/>
      <c r="PKQ23"/>
      <c r="PKR23"/>
      <c r="PKS23"/>
      <c r="PKT23"/>
      <c r="PKU23"/>
      <c r="PKV23"/>
      <c r="PKW23"/>
      <c r="PKX23"/>
      <c r="PKY23"/>
      <c r="PKZ23"/>
      <c r="PLA23"/>
      <c r="PLB23"/>
      <c r="PLC23"/>
      <c r="PLD23"/>
      <c r="PLE23"/>
      <c r="PLF23"/>
      <c r="PLG23"/>
      <c r="PLH23"/>
      <c r="PLI23"/>
      <c r="PLJ23"/>
      <c r="PLK23"/>
      <c r="PLL23"/>
      <c r="PLM23"/>
      <c r="PLN23"/>
      <c r="PLO23"/>
      <c r="PLP23"/>
      <c r="PLQ23"/>
      <c r="PLR23"/>
      <c r="PLS23"/>
      <c r="PLT23"/>
      <c r="PLU23"/>
      <c r="PLV23"/>
      <c r="PLW23"/>
      <c r="PLX23"/>
      <c r="PLY23"/>
      <c r="PLZ23"/>
      <c r="PMA23"/>
      <c r="PMB23"/>
      <c r="PMC23"/>
      <c r="PMD23"/>
      <c r="PME23"/>
      <c r="PMF23"/>
      <c r="PMG23"/>
      <c r="PMH23"/>
      <c r="PMI23"/>
      <c r="PMJ23"/>
      <c r="PMK23"/>
      <c r="PML23"/>
      <c r="PMM23"/>
      <c r="PMN23"/>
      <c r="PMO23"/>
      <c r="PMP23"/>
      <c r="PMQ23"/>
      <c r="PMR23"/>
      <c r="PMS23"/>
      <c r="PMT23"/>
      <c r="PMU23"/>
      <c r="PMV23"/>
      <c r="PMW23"/>
      <c r="PMX23"/>
      <c r="PMY23"/>
      <c r="PMZ23"/>
      <c r="PNA23"/>
      <c r="PNB23"/>
      <c r="PNC23"/>
      <c r="PND23"/>
      <c r="PNE23"/>
      <c r="PNF23"/>
      <c r="PNG23"/>
      <c r="PNH23"/>
      <c r="PNI23"/>
      <c r="PNJ23"/>
      <c r="PNK23"/>
      <c r="PNL23"/>
      <c r="PNM23"/>
      <c r="PNN23"/>
      <c r="PNO23"/>
      <c r="PNP23"/>
      <c r="PNQ23"/>
      <c r="PNR23"/>
      <c r="PNS23"/>
      <c r="PNT23"/>
      <c r="PNU23"/>
      <c r="PNV23"/>
      <c r="PNW23"/>
      <c r="PNX23"/>
      <c r="PNY23"/>
      <c r="PNZ23"/>
      <c r="POA23"/>
      <c r="POB23"/>
      <c r="POC23"/>
      <c r="POD23"/>
      <c r="POE23"/>
      <c r="POF23"/>
      <c r="POG23"/>
      <c r="POH23"/>
      <c r="POI23"/>
      <c r="POJ23"/>
      <c r="POK23"/>
      <c r="POL23"/>
      <c r="POM23"/>
      <c r="PON23"/>
      <c r="POO23"/>
      <c r="POP23"/>
      <c r="POQ23"/>
      <c r="POR23"/>
      <c r="POS23"/>
      <c r="POT23"/>
      <c r="POU23"/>
      <c r="POV23"/>
      <c r="POW23"/>
      <c r="POX23"/>
      <c r="POY23"/>
      <c r="POZ23"/>
      <c r="PPA23"/>
      <c r="PPB23"/>
      <c r="PPC23"/>
      <c r="PPD23"/>
      <c r="PPE23"/>
      <c r="PPF23"/>
      <c r="PPG23"/>
      <c r="PPH23"/>
      <c r="PPI23"/>
      <c r="PPJ23"/>
      <c r="PPK23"/>
      <c r="PPL23"/>
      <c r="PPM23"/>
      <c r="PPN23"/>
      <c r="PPO23"/>
      <c r="PPP23"/>
      <c r="PPQ23"/>
      <c r="PPR23"/>
      <c r="PPS23"/>
      <c r="PPT23"/>
      <c r="PPU23"/>
      <c r="PPV23"/>
      <c r="PPW23"/>
      <c r="PPX23"/>
      <c r="PPY23"/>
      <c r="PPZ23"/>
      <c r="PQA23"/>
      <c r="PQB23"/>
      <c r="PQC23"/>
      <c r="PQD23"/>
      <c r="PQE23"/>
      <c r="PQF23"/>
      <c r="PQG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QBO23"/>
      <c r="QBP23"/>
      <c r="QBQ23"/>
      <c r="QBR23"/>
      <c r="QBS23"/>
      <c r="QBT23"/>
      <c r="QBU23"/>
      <c r="QBV23"/>
      <c r="QBW23"/>
      <c r="QBX23"/>
      <c r="QBY23"/>
      <c r="QBZ23"/>
      <c r="QCA23"/>
      <c r="QCB23"/>
      <c r="QCC23"/>
      <c r="QCD23"/>
      <c r="QCE23"/>
      <c r="QCF23"/>
      <c r="QCG23"/>
      <c r="QCH23"/>
      <c r="QCI23"/>
      <c r="QCJ23"/>
      <c r="QCK23"/>
      <c r="QCL23"/>
      <c r="QCM23"/>
      <c r="QCN23"/>
      <c r="QCO23"/>
      <c r="QCP23"/>
      <c r="QCQ23"/>
      <c r="QCR23"/>
      <c r="QCS23"/>
      <c r="QCT23"/>
      <c r="QCU23"/>
      <c r="QCV23"/>
      <c r="QCW23"/>
      <c r="QCX23"/>
      <c r="QCY23"/>
      <c r="QCZ23"/>
      <c r="QDA23"/>
      <c r="QDB23"/>
      <c r="QDC23"/>
      <c r="QDD23"/>
      <c r="QDE23"/>
      <c r="QDF23"/>
      <c r="QDG23"/>
      <c r="QDH23"/>
      <c r="QDI23"/>
      <c r="QDJ23"/>
      <c r="QDK23"/>
      <c r="QDL23"/>
      <c r="QDM23"/>
      <c r="QDN23"/>
      <c r="QDO23"/>
      <c r="QDP23"/>
      <c r="QDQ23"/>
      <c r="QDR23"/>
      <c r="QDS23"/>
      <c r="QDT23"/>
      <c r="QDU23"/>
      <c r="QDV23"/>
      <c r="QDW23"/>
      <c r="QDX23"/>
      <c r="QDY23"/>
      <c r="QDZ23"/>
      <c r="QEA23"/>
      <c r="QEB23"/>
      <c r="QEC23"/>
      <c r="QED23"/>
      <c r="QEE23"/>
      <c r="QEF23"/>
      <c r="QEG23"/>
      <c r="QEH23"/>
      <c r="QEI23"/>
      <c r="QEJ23"/>
      <c r="QEK23"/>
      <c r="QEL23"/>
      <c r="QEM23"/>
      <c r="QEN23"/>
      <c r="QEO23"/>
      <c r="QEP23"/>
      <c r="QEQ23"/>
      <c r="QER23"/>
      <c r="QES23"/>
      <c r="QET23"/>
      <c r="QEU23"/>
      <c r="QEV23"/>
      <c r="QEW23"/>
      <c r="QEX23"/>
      <c r="QEY23"/>
      <c r="QEZ23"/>
      <c r="QFA23"/>
      <c r="QFB23"/>
      <c r="QFC23"/>
      <c r="QFD23"/>
      <c r="QFE23"/>
      <c r="QFF23"/>
      <c r="QFG23"/>
      <c r="QFH23"/>
      <c r="QFI23"/>
      <c r="QFJ23"/>
      <c r="QFK23"/>
      <c r="QFL23"/>
      <c r="QFM23"/>
      <c r="QFN23"/>
      <c r="QFO23"/>
      <c r="QFP23"/>
      <c r="QFQ23"/>
      <c r="QFR23"/>
      <c r="QFS23"/>
      <c r="QFT23"/>
      <c r="QFU23"/>
      <c r="QFV23"/>
      <c r="QFW23"/>
      <c r="QFX23"/>
      <c r="QFY23"/>
      <c r="QFZ23"/>
      <c r="QGA23"/>
      <c r="QGB23"/>
      <c r="QGC23"/>
      <c r="QGD23"/>
      <c r="QGE23"/>
      <c r="QGF23"/>
      <c r="QGG23"/>
      <c r="QGH23"/>
      <c r="QGI23"/>
      <c r="QGJ23"/>
      <c r="QGK23"/>
      <c r="QGL23"/>
      <c r="QGM23"/>
      <c r="QGN23"/>
      <c r="QGO23"/>
      <c r="QGP23"/>
      <c r="QGQ23"/>
      <c r="QGR23"/>
      <c r="QGS23"/>
      <c r="QGT23"/>
      <c r="QGU23"/>
      <c r="QGV23"/>
      <c r="QGW23"/>
      <c r="QGX23"/>
      <c r="QGY23"/>
      <c r="QGZ23"/>
      <c r="QHA23"/>
      <c r="QHB23"/>
      <c r="QHC23"/>
      <c r="QHD23"/>
      <c r="QHE23"/>
      <c r="QHF23"/>
      <c r="QHG23"/>
      <c r="QHH23"/>
      <c r="QHI23"/>
      <c r="QHJ23"/>
      <c r="QHK23"/>
      <c r="QHL23"/>
      <c r="QHM23"/>
      <c r="QHN23"/>
      <c r="QHO23"/>
      <c r="QHP23"/>
      <c r="QHQ23"/>
      <c r="QHR23"/>
      <c r="QHS23"/>
      <c r="QHT23"/>
      <c r="QHU23"/>
      <c r="QHV23"/>
      <c r="QHW23"/>
      <c r="QHX23"/>
      <c r="QHY23"/>
      <c r="QHZ23"/>
      <c r="QIA23"/>
      <c r="QIB23"/>
      <c r="QIC23"/>
      <c r="QID23"/>
      <c r="QIE23"/>
      <c r="QIF23"/>
      <c r="QIG23"/>
      <c r="QIH23"/>
      <c r="QII23"/>
      <c r="QIJ23"/>
      <c r="QIK23"/>
      <c r="QIL23"/>
      <c r="QIM23"/>
      <c r="QIN23"/>
      <c r="QIO23"/>
      <c r="QIP23"/>
      <c r="QIQ23"/>
      <c r="QIR23"/>
      <c r="QIS23"/>
      <c r="QIT23"/>
      <c r="QIU23"/>
      <c r="QIV23"/>
      <c r="QIW23"/>
      <c r="QIX23"/>
      <c r="QIY23"/>
      <c r="QIZ23"/>
      <c r="QJA23"/>
      <c r="QJB23"/>
      <c r="QJC23"/>
      <c r="QJD23"/>
      <c r="QJE23"/>
      <c r="QJF23"/>
      <c r="QJG23"/>
      <c r="QJH23"/>
      <c r="QJI23"/>
      <c r="QJJ23"/>
      <c r="QJK23"/>
      <c r="QJL23"/>
      <c r="QJM23"/>
      <c r="QJN23"/>
      <c r="QJO23"/>
      <c r="QJP23"/>
      <c r="QJQ23"/>
      <c r="QJR23"/>
      <c r="QJS23"/>
      <c r="QJT23"/>
      <c r="QJU23"/>
      <c r="QJV23"/>
      <c r="QJW23"/>
      <c r="QJX23"/>
      <c r="QJY23"/>
      <c r="QJZ23"/>
      <c r="QKA23"/>
      <c r="QKB23"/>
      <c r="QKC23"/>
      <c r="QKD23"/>
      <c r="QKE23"/>
      <c r="QKF23"/>
      <c r="QKG23"/>
      <c r="QKH23"/>
      <c r="QKI23"/>
      <c r="QKJ23"/>
      <c r="QKK23"/>
      <c r="QKL23"/>
      <c r="QKM23"/>
      <c r="QKN23"/>
      <c r="QKO23"/>
      <c r="QKP23"/>
      <c r="QKQ23"/>
      <c r="QKR23"/>
      <c r="QKS23"/>
      <c r="QKT23"/>
      <c r="QKU23"/>
      <c r="QKV23"/>
      <c r="QKW23"/>
      <c r="QKX23"/>
      <c r="QKY23"/>
      <c r="QKZ23"/>
      <c r="QLA23"/>
      <c r="QLB23"/>
      <c r="QLC23"/>
      <c r="QLD23"/>
      <c r="QLE23"/>
      <c r="QLF23"/>
      <c r="QLG23"/>
      <c r="QLH23"/>
      <c r="QLI23"/>
      <c r="QLJ23"/>
      <c r="QLK23"/>
      <c r="QLL23"/>
      <c r="QLM23"/>
      <c r="QLN23"/>
      <c r="QLO23"/>
      <c r="QLP23"/>
      <c r="QLQ23"/>
      <c r="QLR23"/>
      <c r="QLS23"/>
      <c r="QLT23"/>
      <c r="QLU23"/>
      <c r="QLV23"/>
      <c r="QLW23"/>
      <c r="QLX23"/>
      <c r="QLY23"/>
      <c r="QLZ23"/>
      <c r="QMA23"/>
      <c r="QMB23"/>
      <c r="QMC23"/>
      <c r="QMD23"/>
      <c r="QME23"/>
      <c r="QMF23"/>
      <c r="QMG23"/>
      <c r="QMH23"/>
      <c r="QMI23"/>
      <c r="QMJ23"/>
      <c r="QMK23"/>
      <c r="QML23"/>
      <c r="QMM23"/>
      <c r="QMN23"/>
      <c r="QMO23"/>
      <c r="QMP23"/>
      <c r="QMQ23"/>
      <c r="QMR23"/>
      <c r="QMS23"/>
      <c r="QMT23"/>
      <c r="QMU23"/>
      <c r="QMV23"/>
      <c r="QMW23"/>
      <c r="QMX23"/>
      <c r="QMY23"/>
      <c r="QMZ23"/>
      <c r="QNA23"/>
      <c r="QNB23"/>
      <c r="QNC23"/>
      <c r="QND23"/>
      <c r="QNE23"/>
      <c r="QNF23"/>
      <c r="QNG23"/>
      <c r="QNH23"/>
      <c r="QNI23"/>
      <c r="QNJ23"/>
      <c r="QNK23"/>
      <c r="QNL23"/>
      <c r="QNM23"/>
      <c r="QNN23"/>
      <c r="QNO23"/>
      <c r="QNP23"/>
      <c r="QNQ23"/>
      <c r="QNR23"/>
      <c r="QNS23"/>
      <c r="QNT23"/>
      <c r="QNU23"/>
      <c r="QNV23"/>
      <c r="QNW23"/>
      <c r="QNX23"/>
      <c r="QNY23"/>
      <c r="QNZ23"/>
      <c r="QOA23"/>
      <c r="QOB23"/>
      <c r="QOC23"/>
      <c r="QOD23"/>
      <c r="QOE23"/>
      <c r="QOF23"/>
      <c r="QOG23"/>
      <c r="QOH23"/>
      <c r="QOI23"/>
      <c r="QOJ23"/>
      <c r="QOK23"/>
      <c r="QOL23"/>
      <c r="QOM23"/>
      <c r="QON23"/>
      <c r="QOO23"/>
      <c r="QOP23"/>
      <c r="QOQ23"/>
      <c r="QOR23"/>
      <c r="QOS23"/>
      <c r="QOT23"/>
      <c r="QOU23"/>
      <c r="QOV23"/>
      <c r="QOW23"/>
      <c r="QOX23"/>
      <c r="QOY23"/>
      <c r="QOZ23"/>
      <c r="QPA23"/>
      <c r="QPB23"/>
      <c r="QPC23"/>
      <c r="QPD23"/>
      <c r="QPE23"/>
      <c r="QPF23"/>
      <c r="QPG23"/>
      <c r="QPH23"/>
      <c r="QPI23"/>
      <c r="QPJ23"/>
      <c r="QPK23"/>
      <c r="QPL23"/>
      <c r="QPM23"/>
      <c r="QPN23"/>
      <c r="QPO23"/>
      <c r="QPP23"/>
      <c r="QPQ23"/>
      <c r="QPR23"/>
      <c r="QPS23"/>
      <c r="QPT23"/>
      <c r="QPU23"/>
      <c r="QPV23"/>
      <c r="QPW23"/>
      <c r="QPX23"/>
      <c r="QPY23"/>
      <c r="QPZ23"/>
      <c r="QQA23"/>
      <c r="QQB23"/>
      <c r="QQC23"/>
      <c r="QQD23"/>
      <c r="QQE23"/>
      <c r="QQF23"/>
      <c r="QQG23"/>
      <c r="QQH23"/>
      <c r="QQI23"/>
      <c r="QQJ23"/>
      <c r="QQK23"/>
      <c r="QQL23"/>
      <c r="QQM23"/>
      <c r="QQN23"/>
      <c r="QQO23"/>
      <c r="QQP23"/>
      <c r="QQQ23"/>
      <c r="QQR23"/>
      <c r="QQS23"/>
      <c r="QQT23"/>
      <c r="QQU23"/>
      <c r="QQV23"/>
      <c r="QQW23"/>
      <c r="QQX23"/>
      <c r="QQY23"/>
      <c r="QQZ23"/>
      <c r="QRA23"/>
      <c r="QRB23"/>
      <c r="QRC23"/>
      <c r="QRD23"/>
      <c r="QRE23"/>
      <c r="QRF23"/>
      <c r="QRG23"/>
      <c r="QRH23"/>
      <c r="QRI23"/>
      <c r="QRJ23"/>
      <c r="QRK23"/>
      <c r="QRL23"/>
      <c r="QRM23"/>
      <c r="QRN23"/>
      <c r="QRO23"/>
      <c r="QRP23"/>
      <c r="QRQ23"/>
      <c r="QRR23"/>
      <c r="QRS23"/>
      <c r="QRT23"/>
      <c r="QRU23"/>
      <c r="QRV23"/>
      <c r="QRW23"/>
      <c r="QRX23"/>
      <c r="QRY23"/>
      <c r="QRZ23"/>
      <c r="QSA23"/>
      <c r="QSB23"/>
      <c r="QSC23"/>
      <c r="QSD23"/>
      <c r="QSE23"/>
      <c r="QSF23"/>
      <c r="QSG23"/>
      <c r="QSH23"/>
      <c r="QSI23"/>
      <c r="QSJ23"/>
      <c r="QSK23"/>
      <c r="QSL23"/>
      <c r="QSM23"/>
      <c r="QSN23"/>
      <c r="QSO23"/>
      <c r="QSP23"/>
      <c r="QSQ23"/>
      <c r="QSR23"/>
      <c r="QSS23"/>
      <c r="QST23"/>
      <c r="QSU23"/>
      <c r="QSV23"/>
      <c r="QSW23"/>
      <c r="QSX23"/>
      <c r="QSY23"/>
      <c r="QSZ23"/>
      <c r="QTA23"/>
      <c r="QTB23"/>
      <c r="QTC23"/>
      <c r="QTD23"/>
      <c r="QTE23"/>
      <c r="QTF23"/>
      <c r="QTG23"/>
      <c r="QTH23"/>
      <c r="QTI23"/>
      <c r="QTJ23"/>
      <c r="QTK23"/>
      <c r="QTL23"/>
      <c r="QTM23"/>
      <c r="QTN23"/>
      <c r="QTO23"/>
      <c r="QTP23"/>
      <c r="QTQ23"/>
      <c r="QTR23"/>
      <c r="QTS23"/>
      <c r="QTT23"/>
      <c r="QTU23"/>
      <c r="QTV23"/>
      <c r="QTW23"/>
      <c r="QTX23"/>
      <c r="QTY23"/>
      <c r="QTZ23"/>
      <c r="QUA23"/>
      <c r="QUB23"/>
      <c r="QUC23"/>
      <c r="QUD23"/>
      <c r="QUE23"/>
      <c r="QUF23"/>
      <c r="QUG23"/>
      <c r="QUH23"/>
      <c r="QUI23"/>
      <c r="QUJ23"/>
      <c r="QUK23"/>
      <c r="QUL23"/>
      <c r="QUM23"/>
      <c r="QUN23"/>
      <c r="QUO23"/>
      <c r="QUP23"/>
      <c r="QUQ23"/>
      <c r="QUR23"/>
      <c r="QUS23"/>
      <c r="QUT23"/>
      <c r="QUU23"/>
      <c r="QUV23"/>
      <c r="QUW23"/>
      <c r="QUX23"/>
      <c r="QUY23"/>
      <c r="QUZ23"/>
      <c r="QVA23"/>
      <c r="QVB23"/>
      <c r="QVC23"/>
      <c r="QVD23"/>
      <c r="QVE23"/>
      <c r="QVF23"/>
      <c r="QVG23"/>
      <c r="QVH23"/>
      <c r="QVI23"/>
      <c r="QVJ23"/>
      <c r="QVK23"/>
      <c r="QVL23"/>
      <c r="QVM23"/>
      <c r="QVN23"/>
      <c r="QVO23"/>
      <c r="QVP23"/>
      <c r="QVQ23"/>
      <c r="QVR23"/>
      <c r="QVS23"/>
      <c r="QVT23"/>
      <c r="QVU23"/>
      <c r="QVV23"/>
      <c r="QVW23"/>
      <c r="QVX23"/>
      <c r="QVY23"/>
      <c r="QVZ23"/>
      <c r="QWA23"/>
      <c r="QWB23"/>
      <c r="QWC23"/>
      <c r="QWD23"/>
      <c r="QWE23"/>
      <c r="QWF23"/>
      <c r="QWG23"/>
      <c r="QWH23"/>
      <c r="QWI23"/>
      <c r="QWJ23"/>
      <c r="QWK23"/>
      <c r="QWL23"/>
      <c r="QWM23"/>
      <c r="QWN23"/>
      <c r="QWO23"/>
      <c r="QWP23"/>
      <c r="QWQ23"/>
      <c r="QWR23"/>
      <c r="QWS23"/>
      <c r="QWT23"/>
      <c r="QWU23"/>
      <c r="QWV23"/>
      <c r="QWW23"/>
      <c r="QWX23"/>
      <c r="QWY23"/>
      <c r="QWZ23"/>
      <c r="QXA23"/>
      <c r="QXB23"/>
      <c r="QXC23"/>
      <c r="QXD23"/>
      <c r="QXE23"/>
      <c r="QXF23"/>
      <c r="QXG23"/>
      <c r="QXH23"/>
      <c r="QXI23"/>
      <c r="QXJ23"/>
      <c r="QXK23"/>
      <c r="QXL23"/>
      <c r="QXM23"/>
      <c r="QXN23"/>
      <c r="QXO23"/>
      <c r="QXP23"/>
      <c r="QXQ23"/>
      <c r="QXR23"/>
      <c r="QXS23"/>
      <c r="QXT23"/>
      <c r="QXU23"/>
      <c r="QXV23"/>
      <c r="QXW23"/>
      <c r="QXX23"/>
      <c r="QXY23"/>
      <c r="QXZ23"/>
      <c r="QYA23"/>
      <c r="QYB23"/>
      <c r="QYC23"/>
      <c r="QYD23"/>
      <c r="QYE23"/>
      <c r="QYF23"/>
      <c r="QYG23"/>
      <c r="QYH23"/>
      <c r="QYI23"/>
      <c r="QYJ23"/>
      <c r="QYK23"/>
      <c r="QYL23"/>
      <c r="QYM23"/>
      <c r="QYN23"/>
      <c r="QYO23"/>
      <c r="QYP23"/>
      <c r="QYQ23"/>
      <c r="QYR23"/>
      <c r="QYS23"/>
      <c r="QYT23"/>
      <c r="QYU23"/>
      <c r="QYV23"/>
      <c r="QYW23"/>
      <c r="QYX23"/>
      <c r="QYY23"/>
      <c r="QYZ23"/>
      <c r="QZA23"/>
      <c r="QZB23"/>
      <c r="QZC23"/>
      <c r="QZD23"/>
      <c r="QZE23"/>
      <c r="QZF23"/>
      <c r="QZG23"/>
      <c r="QZH23"/>
      <c r="QZI23"/>
      <c r="QZJ23"/>
      <c r="QZK23"/>
      <c r="QZL23"/>
      <c r="QZM23"/>
      <c r="QZN23"/>
      <c r="QZO23"/>
      <c r="QZP23"/>
      <c r="QZQ23"/>
      <c r="QZR23"/>
      <c r="QZS23"/>
      <c r="QZT23"/>
      <c r="QZU23"/>
      <c r="QZV23"/>
      <c r="QZW23"/>
      <c r="QZX23"/>
      <c r="QZY23"/>
      <c r="QZZ23"/>
      <c r="RAA23"/>
      <c r="RAB23"/>
      <c r="RAC23"/>
      <c r="RAD23"/>
      <c r="RAE23"/>
      <c r="RAF23"/>
      <c r="RAG23"/>
      <c r="RAH23"/>
      <c r="RAI23"/>
      <c r="RAJ23"/>
      <c r="RAK23"/>
      <c r="RAL23"/>
      <c r="RAM23"/>
      <c r="RAN23"/>
      <c r="RAO23"/>
      <c r="RAP23"/>
      <c r="RAQ23"/>
      <c r="RAR23"/>
      <c r="RAS23"/>
      <c r="RAT23"/>
      <c r="RAU23"/>
      <c r="RAV23"/>
      <c r="RAW23"/>
      <c r="RAX23"/>
      <c r="RAY23"/>
      <c r="RAZ23"/>
      <c r="RBA23"/>
      <c r="RBB23"/>
      <c r="RBC23"/>
      <c r="RBD23"/>
      <c r="RBE23"/>
      <c r="RBF23"/>
      <c r="RBG23"/>
      <c r="RBH23"/>
      <c r="RBI23"/>
      <c r="RBJ23"/>
      <c r="RBK23"/>
      <c r="RBL23"/>
      <c r="RBM23"/>
      <c r="RBN23"/>
      <c r="RBO23"/>
      <c r="RBP23"/>
      <c r="RBQ23"/>
      <c r="RBR23"/>
      <c r="RBS23"/>
      <c r="RBT23"/>
      <c r="RBU23"/>
      <c r="RBV23"/>
      <c r="RBW23"/>
      <c r="RBX23"/>
      <c r="RBY23"/>
      <c r="RBZ23"/>
      <c r="RCA23"/>
      <c r="RCB23"/>
      <c r="RCC23"/>
      <c r="RCD23"/>
      <c r="RCE23"/>
      <c r="RCF23"/>
      <c r="RCG23"/>
      <c r="RCH23"/>
      <c r="RCI23"/>
      <c r="RCJ23"/>
      <c r="RCK23"/>
      <c r="RCL23"/>
      <c r="RCM23"/>
      <c r="RCN23"/>
      <c r="RCO23"/>
      <c r="RCP23"/>
      <c r="RCQ23"/>
      <c r="RCR23"/>
      <c r="RCS23"/>
      <c r="RCT23"/>
      <c r="RCU23"/>
      <c r="RCV23"/>
      <c r="RCW23"/>
      <c r="RCX23"/>
      <c r="RCY23"/>
      <c r="RCZ23"/>
      <c r="RDA23"/>
      <c r="RDB23"/>
      <c r="RDC23"/>
      <c r="RDD23"/>
      <c r="RDE23"/>
      <c r="RDF23"/>
      <c r="RDG23"/>
      <c r="RDH23"/>
      <c r="RDI23"/>
      <c r="RDJ23"/>
      <c r="RDK23"/>
      <c r="RDL23"/>
      <c r="RDM23"/>
      <c r="RDN23"/>
      <c r="RDO23"/>
      <c r="RDP23"/>
      <c r="RDQ23"/>
      <c r="RDR23"/>
      <c r="RDS23"/>
      <c r="RDT23"/>
      <c r="RDU23"/>
      <c r="RDV23"/>
      <c r="RDW23"/>
      <c r="RDX23"/>
      <c r="RDY23"/>
      <c r="RDZ23"/>
      <c r="REA23"/>
      <c r="REB23"/>
      <c r="REC23"/>
      <c r="RED23"/>
      <c r="REE23"/>
      <c r="REF23"/>
      <c r="REG23"/>
      <c r="REH23"/>
      <c r="REI23"/>
      <c r="REJ23"/>
      <c r="REK23"/>
      <c r="REL23"/>
      <c r="REM23"/>
      <c r="REN23"/>
      <c r="REO23"/>
      <c r="REP23"/>
      <c r="REQ23"/>
      <c r="RER23"/>
      <c r="RES23"/>
      <c r="RET23"/>
      <c r="REU23"/>
      <c r="REV23"/>
      <c r="REW23"/>
      <c r="REX23"/>
      <c r="REY23"/>
      <c r="REZ23"/>
      <c r="RFA23"/>
      <c r="RFB23"/>
      <c r="RFC23"/>
      <c r="RFD23"/>
      <c r="RFE23"/>
      <c r="RFF23"/>
      <c r="RFG23"/>
      <c r="RFH23"/>
      <c r="RFI23"/>
      <c r="RFJ23"/>
      <c r="RFK23"/>
      <c r="RFL23"/>
      <c r="RFM23"/>
      <c r="RFN23"/>
      <c r="RFO23"/>
      <c r="RFP23"/>
      <c r="RFQ23"/>
      <c r="RFR23"/>
      <c r="RFS23"/>
      <c r="RFT23"/>
      <c r="RFU23"/>
      <c r="RFV23"/>
      <c r="RFW23"/>
      <c r="RFX23"/>
      <c r="RFY23"/>
      <c r="RFZ23"/>
      <c r="RGA23"/>
      <c r="RGB23"/>
      <c r="RGC23"/>
      <c r="RGD23"/>
      <c r="RGE23"/>
      <c r="RGF23"/>
      <c r="RGG23"/>
      <c r="RGH23"/>
      <c r="RGI23"/>
      <c r="RGJ23"/>
      <c r="RGK23"/>
      <c r="RGL23"/>
      <c r="RGM23"/>
      <c r="RGN23"/>
      <c r="RGO23"/>
      <c r="RGP23"/>
      <c r="RGQ23"/>
      <c r="RGR23"/>
      <c r="RGS23"/>
      <c r="RGT23"/>
      <c r="RGU23"/>
      <c r="RGV23"/>
      <c r="RGW23"/>
      <c r="RGX23"/>
      <c r="RGY23"/>
      <c r="RGZ23"/>
      <c r="RHA23"/>
      <c r="RHB23"/>
      <c r="RHC23"/>
      <c r="RHD23"/>
      <c r="RHE23"/>
      <c r="RHF23"/>
      <c r="RHG23"/>
      <c r="RHH23"/>
      <c r="RHI23"/>
      <c r="RHJ23"/>
      <c r="RHK23"/>
      <c r="RHL23"/>
      <c r="RHM23"/>
      <c r="RHN23"/>
      <c r="RHO23"/>
      <c r="RHP23"/>
      <c r="RHQ23"/>
      <c r="RHR23"/>
      <c r="RHS23"/>
      <c r="RHT23"/>
      <c r="RHU23"/>
      <c r="RHV23"/>
      <c r="RHW23"/>
      <c r="RHX23"/>
      <c r="RHY23"/>
      <c r="RHZ23"/>
      <c r="RIA23"/>
      <c r="RIB23"/>
      <c r="RIC23"/>
      <c r="RID23"/>
      <c r="RIE23"/>
      <c r="RIF23"/>
      <c r="RIG23"/>
      <c r="RIH23"/>
      <c r="RII23"/>
      <c r="RIJ23"/>
      <c r="RIK23"/>
      <c r="RIL23"/>
      <c r="RIM23"/>
      <c r="RIN23"/>
      <c r="RIO23"/>
      <c r="RIP23"/>
      <c r="RIQ23"/>
      <c r="RIR23"/>
      <c r="RIS23"/>
      <c r="RIT23"/>
      <c r="RIU23"/>
      <c r="RIV23"/>
      <c r="RIW23"/>
      <c r="RIX23"/>
      <c r="RIY23"/>
      <c r="RIZ23"/>
      <c r="RJA23"/>
      <c r="RJB23"/>
      <c r="RJC23"/>
      <c r="RJD23"/>
      <c r="RJE23"/>
      <c r="RJF23"/>
      <c r="RJG23"/>
      <c r="RJH23"/>
      <c r="RJI23"/>
      <c r="RJJ23"/>
      <c r="RJK23"/>
      <c r="RJL23"/>
      <c r="RJM23"/>
      <c r="RJN23"/>
      <c r="RJO23"/>
      <c r="RJP23"/>
      <c r="RJQ23"/>
      <c r="RJR23"/>
      <c r="RJS23"/>
      <c r="RJT23"/>
      <c r="RJU23"/>
      <c r="RJV23"/>
      <c r="RJW23"/>
      <c r="RJX23"/>
      <c r="RJY23"/>
      <c r="RJZ23"/>
      <c r="RKA23"/>
      <c r="RKB23"/>
      <c r="RKC23"/>
      <c r="RKD23"/>
      <c r="RKE23"/>
      <c r="RKF23"/>
      <c r="RKG23"/>
      <c r="RKH23"/>
      <c r="RKI23"/>
      <c r="RKJ23"/>
      <c r="RKK23"/>
      <c r="RKL23"/>
      <c r="RKM23"/>
      <c r="RKN23"/>
      <c r="RKO23"/>
      <c r="RKP23"/>
      <c r="RKQ23"/>
      <c r="RKR23"/>
      <c r="RKS23"/>
      <c r="RKT23"/>
      <c r="RKU23"/>
      <c r="RKV23"/>
      <c r="RKW23"/>
      <c r="RKX23"/>
      <c r="RKY23"/>
      <c r="RKZ23"/>
      <c r="RLA23"/>
      <c r="RLB23"/>
      <c r="RLC23"/>
      <c r="RLD23"/>
      <c r="RLE23"/>
      <c r="RLF23"/>
      <c r="RLG23"/>
      <c r="RLH23"/>
      <c r="RLI23"/>
      <c r="RLJ23"/>
      <c r="RLK23"/>
      <c r="RLL23"/>
      <c r="RLM23"/>
      <c r="RLN23"/>
      <c r="RLO23"/>
      <c r="RLP23"/>
      <c r="RLQ23"/>
      <c r="RLR23"/>
      <c r="RLS23"/>
      <c r="RLT23"/>
      <c r="RLU23"/>
      <c r="RLV23"/>
      <c r="RLW23"/>
      <c r="RLX23"/>
      <c r="RLY23"/>
      <c r="RLZ23"/>
      <c r="RMA23"/>
      <c r="RMB23"/>
      <c r="RMC23"/>
      <c r="RMD23"/>
      <c r="RME23"/>
      <c r="RMF23"/>
      <c r="RMG23"/>
      <c r="RMH23"/>
      <c r="RMI23"/>
      <c r="RMJ23"/>
      <c r="RMK23"/>
      <c r="RML23"/>
      <c r="RMM23"/>
      <c r="RMN23"/>
      <c r="RMO23"/>
      <c r="RMP23"/>
      <c r="RMQ23"/>
      <c r="RMR23"/>
      <c r="RMS23"/>
      <c r="RMT23"/>
      <c r="RMU23"/>
      <c r="RMV23"/>
      <c r="RMW23"/>
      <c r="RMX23"/>
      <c r="RMY23"/>
      <c r="RMZ23"/>
      <c r="RNA23"/>
      <c r="RNB23"/>
      <c r="RNC23"/>
      <c r="RND23"/>
      <c r="RNE23"/>
      <c r="RNF23"/>
      <c r="RNG23"/>
      <c r="RNH23"/>
      <c r="RNI23"/>
      <c r="RNJ23"/>
      <c r="RNK23"/>
      <c r="RNL23"/>
      <c r="RNM23"/>
      <c r="RNN23"/>
      <c r="RNO23"/>
      <c r="RNP23"/>
      <c r="RNQ23"/>
      <c r="RNR23"/>
      <c r="RNS23"/>
      <c r="RNT23"/>
      <c r="RNU23"/>
      <c r="RNV23"/>
      <c r="RNW23"/>
      <c r="RNX23"/>
      <c r="RNY23"/>
      <c r="RNZ23"/>
      <c r="ROA23"/>
      <c r="ROB23"/>
      <c r="ROC23"/>
      <c r="ROD23"/>
      <c r="ROE23"/>
      <c r="ROF23"/>
      <c r="ROG23"/>
      <c r="ROH23"/>
      <c r="ROI23"/>
      <c r="ROJ23"/>
      <c r="ROK23"/>
      <c r="ROL23"/>
      <c r="ROM23"/>
      <c r="RON23"/>
      <c r="ROO23"/>
      <c r="ROP23"/>
      <c r="ROQ23"/>
      <c r="ROR23"/>
      <c r="ROS23"/>
      <c r="ROT23"/>
      <c r="ROU23"/>
      <c r="ROV23"/>
      <c r="ROW23"/>
      <c r="ROX23"/>
      <c r="ROY23"/>
      <c r="ROZ23"/>
      <c r="RPA23"/>
      <c r="RPB23"/>
      <c r="RPC23"/>
      <c r="RPD23"/>
      <c r="RPE23"/>
      <c r="RPF23"/>
      <c r="RPG23"/>
      <c r="RPH23"/>
      <c r="RPI23"/>
      <c r="RPJ23"/>
      <c r="RPK23"/>
      <c r="RPL23"/>
      <c r="RPM23"/>
      <c r="RPN23"/>
      <c r="RPO23"/>
      <c r="RPP23"/>
      <c r="RPQ23"/>
      <c r="RPR23"/>
      <c r="RPS23"/>
      <c r="RPT23"/>
      <c r="RPU23"/>
      <c r="RPV23"/>
      <c r="RPW23"/>
      <c r="RPX23"/>
      <c r="RPY23"/>
      <c r="RPZ23"/>
      <c r="RQA23"/>
      <c r="RQB23"/>
      <c r="RQC23"/>
      <c r="RQD23"/>
      <c r="RQE23"/>
      <c r="RQF23"/>
      <c r="RQG23"/>
      <c r="RQH23"/>
      <c r="RQI23"/>
      <c r="RQJ23"/>
      <c r="RQK23"/>
      <c r="RQL23"/>
      <c r="RQM23"/>
      <c r="RQN23"/>
      <c r="RQO23"/>
      <c r="RQP23"/>
      <c r="RQQ23"/>
      <c r="RQR23"/>
      <c r="RQS23"/>
      <c r="RQT23"/>
      <c r="RQU23"/>
      <c r="RQV23"/>
      <c r="RQW23"/>
      <c r="RQX23"/>
      <c r="RQY23"/>
      <c r="RQZ23"/>
      <c r="RRA23"/>
      <c r="RRB23"/>
      <c r="RRC23"/>
      <c r="RRD23"/>
      <c r="RRE23"/>
      <c r="RRF23"/>
      <c r="RRG23"/>
      <c r="RRH23"/>
      <c r="RRI23"/>
      <c r="RRJ23"/>
      <c r="RRK23"/>
      <c r="RRL23"/>
      <c r="RRM23"/>
      <c r="RRN23"/>
      <c r="RRO23"/>
      <c r="RRP23"/>
      <c r="RRQ23"/>
      <c r="RRR23"/>
      <c r="RRS23"/>
      <c r="RRT23"/>
      <c r="RRU23"/>
      <c r="RRV23"/>
      <c r="RRW23"/>
      <c r="RRX23"/>
      <c r="RRY23"/>
      <c r="RRZ23"/>
      <c r="RSA23"/>
      <c r="RSB23"/>
      <c r="RSC23"/>
      <c r="RSD23"/>
      <c r="RSE23"/>
      <c r="RSF23"/>
      <c r="RSG23"/>
      <c r="RSH23"/>
      <c r="RSI23"/>
      <c r="RSJ23"/>
      <c r="RSK23"/>
      <c r="RSL23"/>
      <c r="RSM23"/>
      <c r="RSN23"/>
      <c r="RSO23"/>
      <c r="RSP23"/>
      <c r="RSQ23"/>
      <c r="RSR23"/>
      <c r="RSS23"/>
      <c r="RST23"/>
      <c r="RSU23"/>
      <c r="RSV23"/>
      <c r="RSW23"/>
      <c r="RSX23"/>
      <c r="RSY23"/>
      <c r="RSZ23"/>
      <c r="RTA23"/>
      <c r="RTB23"/>
      <c r="RTC23"/>
      <c r="RTD23"/>
      <c r="RTE23"/>
      <c r="RTF23"/>
      <c r="RTG23"/>
      <c r="RTH23"/>
      <c r="RTI23"/>
      <c r="RTJ23"/>
      <c r="RTK23"/>
      <c r="RTL23"/>
      <c r="RTM23"/>
      <c r="RTN23"/>
      <c r="RTO23"/>
      <c r="RTP23"/>
      <c r="RTQ23"/>
      <c r="RTR23"/>
      <c r="RTS23"/>
      <c r="RTT23"/>
      <c r="RTU23"/>
      <c r="RTV23"/>
      <c r="RTW23"/>
      <c r="RTX23"/>
      <c r="RTY23"/>
      <c r="RTZ23"/>
      <c r="RUA23"/>
      <c r="RUB23"/>
      <c r="RUC23"/>
      <c r="RUD23"/>
      <c r="RUE23"/>
      <c r="RUF23"/>
      <c r="RUG23"/>
      <c r="RUH23"/>
      <c r="RUI23"/>
      <c r="RUJ23"/>
      <c r="RUK23"/>
      <c r="RUL23"/>
      <c r="RUM23"/>
      <c r="RUN23"/>
      <c r="RUO23"/>
      <c r="RUP23"/>
      <c r="RUQ23"/>
      <c r="RUR23"/>
      <c r="RUS23"/>
      <c r="RUT23"/>
      <c r="RUU23"/>
      <c r="RUV23"/>
      <c r="RUW23"/>
      <c r="RUX23"/>
      <c r="RUY23"/>
      <c r="RUZ23"/>
      <c r="RVA23"/>
      <c r="RVB23"/>
      <c r="RVC23"/>
      <c r="RVD23"/>
      <c r="RVE23"/>
      <c r="RVF23"/>
      <c r="RVG23"/>
      <c r="RVH23"/>
      <c r="RVI23"/>
      <c r="RVJ23"/>
      <c r="RVK23"/>
      <c r="RVL23"/>
      <c r="RVM23"/>
      <c r="RVN23"/>
      <c r="RVO23"/>
      <c r="RVP23"/>
      <c r="RVQ23"/>
      <c r="RVR23"/>
      <c r="RVS23"/>
      <c r="RVT23"/>
      <c r="RVU23"/>
      <c r="RVV23"/>
      <c r="RVW23"/>
      <c r="RVX23"/>
      <c r="RVY23"/>
      <c r="RVZ23"/>
      <c r="RWA23"/>
      <c r="RWB23"/>
      <c r="RWC23"/>
      <c r="RWD23"/>
      <c r="RWE23"/>
      <c r="RWF23"/>
      <c r="RWG23"/>
      <c r="RWH23"/>
      <c r="RWI23"/>
      <c r="RWJ23"/>
      <c r="RWK23"/>
      <c r="RWL23"/>
      <c r="RWM23"/>
      <c r="RWN23"/>
      <c r="RWO23"/>
      <c r="RWP23"/>
      <c r="RWQ23"/>
      <c r="RWR23"/>
      <c r="RWS23"/>
      <c r="RWT23"/>
      <c r="RWU23"/>
      <c r="RWV23"/>
      <c r="RWW23"/>
      <c r="RWX23"/>
      <c r="RWY23"/>
      <c r="RWZ23"/>
      <c r="RXA23"/>
      <c r="RXB23"/>
      <c r="RXC23"/>
      <c r="RXD23"/>
      <c r="RXE23"/>
      <c r="RXF23"/>
      <c r="RXG23"/>
      <c r="RXH23"/>
      <c r="RXI23"/>
      <c r="RXJ23"/>
      <c r="RXK23"/>
      <c r="RXL23"/>
      <c r="RXM23"/>
      <c r="RXN23"/>
      <c r="RXO23"/>
      <c r="RXP23"/>
      <c r="RXQ23"/>
      <c r="RXR23"/>
      <c r="RXS23"/>
      <c r="RXT23"/>
      <c r="RXU23"/>
      <c r="RXV23"/>
      <c r="RXW23"/>
      <c r="RXX23"/>
      <c r="RXY23"/>
      <c r="RXZ23"/>
      <c r="RYA23"/>
      <c r="RYB23"/>
      <c r="RYC23"/>
      <c r="RYD23"/>
      <c r="RYE23"/>
      <c r="RYF23"/>
      <c r="RYG23"/>
      <c r="RYH23"/>
      <c r="RYI23"/>
      <c r="RYJ23"/>
      <c r="RYK23"/>
      <c r="RYL23"/>
      <c r="RYM23"/>
      <c r="RYN23"/>
      <c r="RYO23"/>
      <c r="RYP23"/>
      <c r="RYQ23"/>
      <c r="RYR23"/>
      <c r="RYS23"/>
      <c r="RYT23"/>
      <c r="RYU23"/>
      <c r="RYV23"/>
      <c r="RYW23"/>
      <c r="RYX23"/>
      <c r="RYY23"/>
      <c r="RYZ23"/>
      <c r="RZA23"/>
      <c r="RZB23"/>
      <c r="RZC23"/>
      <c r="RZD23"/>
      <c r="RZE23"/>
      <c r="RZF23"/>
      <c r="RZG23"/>
      <c r="RZH23"/>
      <c r="RZI23"/>
      <c r="RZJ23"/>
      <c r="RZK23"/>
      <c r="RZL23"/>
      <c r="RZM23"/>
      <c r="RZN23"/>
      <c r="RZO23"/>
      <c r="RZP23"/>
      <c r="RZQ23"/>
      <c r="RZR23"/>
      <c r="RZS23"/>
      <c r="RZT23"/>
      <c r="RZU23"/>
      <c r="RZV23"/>
      <c r="RZW23"/>
      <c r="RZX23"/>
      <c r="RZY23"/>
      <c r="RZZ23"/>
      <c r="SAA23"/>
      <c r="SAB23"/>
      <c r="SAC23"/>
      <c r="SAD23"/>
      <c r="SAE23"/>
      <c r="SAF23"/>
      <c r="SAG23"/>
      <c r="SAH23"/>
      <c r="SAI23"/>
      <c r="SAJ23"/>
      <c r="SAK23"/>
      <c r="SAL23"/>
      <c r="SAM23"/>
      <c r="SAN23"/>
      <c r="SAO23"/>
      <c r="SAP23"/>
      <c r="SAQ23"/>
      <c r="SAR23"/>
      <c r="SAS23"/>
      <c r="SAT23"/>
      <c r="SAU23"/>
      <c r="SAV23"/>
      <c r="SAW23"/>
      <c r="SAX23"/>
      <c r="SAY23"/>
      <c r="SAZ23"/>
      <c r="SBA23"/>
      <c r="SBB23"/>
      <c r="SBC23"/>
      <c r="SBD23"/>
      <c r="SBE23"/>
      <c r="SBF23"/>
      <c r="SBG23"/>
      <c r="SBH23"/>
      <c r="SBI23"/>
      <c r="SBJ23"/>
      <c r="SBK23"/>
      <c r="SBL23"/>
      <c r="SBM23"/>
      <c r="SBN23"/>
      <c r="SBO23"/>
      <c r="SBP23"/>
      <c r="SBQ23"/>
      <c r="SBR23"/>
      <c r="SBS23"/>
      <c r="SBT23"/>
      <c r="SBU23"/>
      <c r="SBV23"/>
      <c r="SBW23"/>
      <c r="SBX23"/>
      <c r="SBY23"/>
      <c r="SBZ23"/>
      <c r="SCA23"/>
      <c r="SCB23"/>
      <c r="SCC23"/>
      <c r="SCD23"/>
      <c r="SCE23"/>
      <c r="SCF23"/>
      <c r="SCG23"/>
      <c r="SCH23"/>
      <c r="SCI23"/>
      <c r="SCJ23"/>
      <c r="SCK23"/>
      <c r="SCL23"/>
      <c r="SCM23"/>
      <c r="SCN23"/>
      <c r="SCO23"/>
      <c r="SCP23"/>
      <c r="SCQ23"/>
      <c r="SCR23"/>
      <c r="SCS23"/>
      <c r="SCT23"/>
      <c r="SCU23"/>
      <c r="SCV23"/>
      <c r="SCW23"/>
      <c r="SCX23"/>
      <c r="SCY23"/>
      <c r="SCZ23"/>
      <c r="SDA23"/>
      <c r="SDB23"/>
      <c r="SDC23"/>
      <c r="SDD23"/>
      <c r="SDE23"/>
      <c r="SDF23"/>
      <c r="SDG23"/>
      <c r="SDH23"/>
      <c r="SDI23"/>
      <c r="SDJ23"/>
      <c r="SDK23"/>
      <c r="SDL23"/>
      <c r="SDM23"/>
      <c r="SDN23"/>
      <c r="SDO23"/>
      <c r="SDP23"/>
      <c r="SDQ23"/>
      <c r="SDR23"/>
      <c r="SDS23"/>
      <c r="SDT23"/>
      <c r="SDU23"/>
      <c r="SDV23"/>
      <c r="SDW23"/>
      <c r="SDX23"/>
      <c r="SDY23"/>
      <c r="SDZ23"/>
      <c r="SEA23"/>
      <c r="SEB23"/>
      <c r="SEC23"/>
      <c r="SED23"/>
      <c r="SEE23"/>
      <c r="SEF23"/>
      <c r="SEG23"/>
      <c r="SEH23"/>
      <c r="SEI23"/>
      <c r="SEJ23"/>
      <c r="SEK23"/>
      <c r="SEL23"/>
      <c r="SEM23"/>
      <c r="SEN23"/>
      <c r="SEO23"/>
      <c r="SEP23"/>
      <c r="SEQ23"/>
      <c r="SER23"/>
      <c r="SES23"/>
      <c r="SET23"/>
      <c r="SEU23"/>
      <c r="SEV23"/>
      <c r="SEW23"/>
      <c r="SEX23"/>
      <c r="SEY23"/>
      <c r="SEZ23"/>
      <c r="SFA23"/>
      <c r="SFB23"/>
      <c r="SFC23"/>
      <c r="SFD23"/>
      <c r="SFE23"/>
      <c r="SFF23"/>
      <c r="SFG23"/>
      <c r="SFH23"/>
      <c r="SFI23"/>
      <c r="SFJ23"/>
      <c r="SFK23"/>
      <c r="SFL23"/>
      <c r="SFM23"/>
      <c r="SFN23"/>
      <c r="SFO23"/>
      <c r="SFP23"/>
      <c r="SFQ23"/>
      <c r="SFR23"/>
      <c r="SFS23"/>
      <c r="SFT23"/>
      <c r="SFU23"/>
      <c r="SFV23"/>
      <c r="SFW23"/>
      <c r="SFX23"/>
      <c r="SFY23"/>
      <c r="SFZ23"/>
      <c r="SGA23"/>
      <c r="SGB23"/>
      <c r="SGC23"/>
      <c r="SGD23"/>
      <c r="SGE23"/>
      <c r="SGF23"/>
      <c r="SGG23"/>
      <c r="SGH23"/>
      <c r="SGI23"/>
      <c r="SGJ23"/>
      <c r="SGK23"/>
      <c r="SGL23"/>
      <c r="SGM23"/>
      <c r="SGN23"/>
      <c r="SGO23"/>
      <c r="SGP23"/>
      <c r="SGQ23"/>
      <c r="SGR23"/>
      <c r="SGS23"/>
      <c r="SGT23"/>
      <c r="SGU23"/>
      <c r="SGV23"/>
      <c r="SGW23"/>
      <c r="SGX23"/>
      <c r="SGY23"/>
      <c r="SGZ23"/>
      <c r="SHA23"/>
      <c r="SHB23"/>
      <c r="SHC23"/>
      <c r="SHD23"/>
      <c r="SHE23"/>
      <c r="SHF23"/>
      <c r="SHG23"/>
      <c r="SHH23"/>
      <c r="SHI23"/>
      <c r="SHJ23"/>
      <c r="SHK23"/>
      <c r="SHL23"/>
      <c r="SHM23"/>
      <c r="SHN23"/>
      <c r="SHO23"/>
      <c r="SHP23"/>
      <c r="SHQ23"/>
      <c r="SHR23"/>
      <c r="SHS23"/>
      <c r="SHT23"/>
      <c r="SHU23"/>
      <c r="SHV23"/>
      <c r="SHW23"/>
      <c r="SHX23"/>
      <c r="SHY23"/>
      <c r="SHZ23"/>
      <c r="SIA23"/>
      <c r="SIB23"/>
      <c r="SIC23"/>
      <c r="SID23"/>
      <c r="SIE23"/>
      <c r="SIF23"/>
      <c r="SIG23"/>
      <c r="SIH23"/>
      <c r="SII23"/>
      <c r="SIJ23"/>
      <c r="SIK23"/>
      <c r="SIL23"/>
      <c r="SIM23"/>
      <c r="SIN23"/>
      <c r="SIO23"/>
      <c r="SIP23"/>
      <c r="SIQ23"/>
      <c r="SIR23"/>
      <c r="SIS23"/>
      <c r="SIT23"/>
      <c r="SIU23"/>
      <c r="SIV23"/>
      <c r="SIW23"/>
      <c r="SIX23"/>
      <c r="SIY23"/>
      <c r="SIZ23"/>
      <c r="SJA23"/>
      <c r="SJB23"/>
      <c r="SJC23"/>
      <c r="SJD23"/>
      <c r="SJE23"/>
      <c r="SJF23"/>
      <c r="SJG23"/>
      <c r="SJH23"/>
      <c r="SJI23"/>
      <c r="SJJ23"/>
      <c r="SJK23"/>
      <c r="SJL23"/>
      <c r="SJM23"/>
      <c r="SJN23"/>
      <c r="SJO23"/>
      <c r="SJP23"/>
      <c r="SJQ23"/>
      <c r="SJR23"/>
      <c r="SJS23"/>
      <c r="SJT23"/>
      <c r="SJU23"/>
      <c r="SJV23"/>
      <c r="SJW23"/>
      <c r="SJX23"/>
      <c r="SJY23"/>
      <c r="SJZ23"/>
      <c r="SKA23"/>
      <c r="SKB23"/>
      <c r="SKC23"/>
      <c r="SKD23"/>
      <c r="SKE23"/>
      <c r="SKF23"/>
      <c r="SKG23"/>
      <c r="SKH23"/>
      <c r="SKI23"/>
      <c r="SKJ23"/>
      <c r="SKK23"/>
      <c r="SKL23"/>
      <c r="SKM23"/>
      <c r="SKN23"/>
      <c r="SKO23"/>
      <c r="SKP23"/>
      <c r="SKQ23"/>
      <c r="SKR23"/>
      <c r="SKS23"/>
      <c r="SKT23"/>
      <c r="SKU23"/>
      <c r="SKV23"/>
      <c r="SKW23"/>
      <c r="SKX23"/>
      <c r="SKY23"/>
      <c r="SKZ23"/>
      <c r="SLA23"/>
      <c r="SLB23"/>
      <c r="SLC23"/>
      <c r="SLD23"/>
      <c r="SLE23"/>
      <c r="SLF23"/>
      <c r="SLG23"/>
      <c r="SLH23"/>
      <c r="SLI23"/>
      <c r="SLJ23"/>
      <c r="SLK23"/>
      <c r="SLL23"/>
      <c r="SLM23"/>
      <c r="SLN23"/>
      <c r="SLO23"/>
      <c r="SLP23"/>
      <c r="SLQ23"/>
      <c r="SLR23"/>
      <c r="SLS23"/>
      <c r="SLT23"/>
      <c r="SLU23"/>
      <c r="SLV23"/>
      <c r="SLW23"/>
      <c r="SLX23"/>
      <c r="SLY23"/>
      <c r="SLZ23"/>
      <c r="SMA23"/>
      <c r="SMB23"/>
      <c r="SMC23"/>
      <c r="SMD23"/>
      <c r="SME23"/>
      <c r="SMF23"/>
      <c r="SMG23"/>
      <c r="SMH23"/>
      <c r="SMI23"/>
      <c r="SMJ23"/>
      <c r="SMK23"/>
      <c r="SML23"/>
      <c r="SMM23"/>
      <c r="SMN23"/>
      <c r="SMO23"/>
      <c r="SMP23"/>
      <c r="SMQ23"/>
      <c r="SMR23"/>
      <c r="SMS23"/>
      <c r="SMT23"/>
      <c r="SMU23"/>
      <c r="SMV23"/>
      <c r="SMW23"/>
      <c r="SMX23"/>
      <c r="SMY23"/>
      <c r="SMZ23"/>
      <c r="SNA23"/>
      <c r="SNB23"/>
      <c r="SNC23"/>
      <c r="SND23"/>
      <c r="SNE23"/>
      <c r="SNF23"/>
      <c r="SNG23"/>
      <c r="SNH23"/>
      <c r="SNI23"/>
      <c r="SNJ23"/>
      <c r="SNK23"/>
      <c r="SNL23"/>
      <c r="SNM23"/>
      <c r="SNN23"/>
      <c r="SNO23"/>
      <c r="SNP23"/>
      <c r="SNQ23"/>
      <c r="SNR23"/>
      <c r="SNS23"/>
      <c r="SNT23"/>
      <c r="SNU23"/>
      <c r="SNV23"/>
      <c r="SNW23"/>
      <c r="SNX23"/>
      <c r="SNY23"/>
      <c r="SNZ23"/>
      <c r="SOA23"/>
      <c r="SOB23"/>
      <c r="SOC23"/>
      <c r="SOD23"/>
      <c r="SOE23"/>
      <c r="SOF23"/>
      <c r="SOG23"/>
      <c r="SOH23"/>
      <c r="SOI23"/>
      <c r="SOJ23"/>
      <c r="SOK23"/>
      <c r="SOL23"/>
      <c r="SOM23"/>
      <c r="SON23"/>
      <c r="SOO23"/>
      <c r="SOP23"/>
      <c r="SOQ23"/>
      <c r="SOR23"/>
      <c r="SOS23"/>
      <c r="SOT23"/>
      <c r="SOU23"/>
      <c r="SOV23"/>
      <c r="SOW23"/>
      <c r="SOX23"/>
      <c r="SOY23"/>
      <c r="SOZ23"/>
      <c r="SPA23"/>
      <c r="SPB23"/>
      <c r="SPC23"/>
      <c r="SPD23"/>
      <c r="SPE23"/>
      <c r="SPF23"/>
      <c r="SPG23"/>
      <c r="SPH23"/>
      <c r="SPI23"/>
      <c r="SPJ23"/>
      <c r="SPK23"/>
      <c r="SPL23"/>
      <c r="SPM23"/>
      <c r="SPN23"/>
      <c r="SPO23"/>
      <c r="SPP23"/>
      <c r="SPQ23"/>
      <c r="SPR23"/>
      <c r="SPS23"/>
      <c r="SPT23"/>
      <c r="SPU23"/>
      <c r="SPV23"/>
      <c r="SPW23"/>
      <c r="SPX23"/>
      <c r="SPY23"/>
      <c r="SPZ23"/>
      <c r="SQA23"/>
      <c r="SQB23"/>
      <c r="SQC23"/>
      <c r="SQD23"/>
      <c r="SQE23"/>
      <c r="SQF23"/>
      <c r="SQG23"/>
      <c r="SQH23"/>
      <c r="SQI23"/>
      <c r="SQJ23"/>
      <c r="SQK23"/>
      <c r="SQL23"/>
      <c r="SQM23"/>
      <c r="SQN23"/>
      <c r="SQO23"/>
      <c r="SQP23"/>
      <c r="SQQ23"/>
      <c r="SQR23"/>
      <c r="SQS23"/>
      <c r="SQT23"/>
      <c r="SQU23"/>
      <c r="SQV23"/>
      <c r="SQW23"/>
      <c r="SQX23"/>
      <c r="SQY23"/>
      <c r="SQZ23"/>
      <c r="SRA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c r="XBR23"/>
      <c r="XBS23"/>
      <c r="XBT23"/>
      <c r="XBU23"/>
      <c r="XBV23"/>
      <c r="XBW23"/>
      <c r="XBX23"/>
      <c r="XBY23"/>
      <c r="XBZ23"/>
      <c r="XCA23"/>
      <c r="XCB23"/>
      <c r="XCC23"/>
      <c r="XCD23"/>
      <c r="XCE23"/>
      <c r="XCF23"/>
      <c r="XCG23"/>
      <c r="XCH23"/>
      <c r="XCI23"/>
      <c r="XCJ23"/>
      <c r="XCK23"/>
      <c r="XCL23"/>
      <c r="XCM23"/>
      <c r="XCN23"/>
      <c r="XCO23"/>
      <c r="XCP23"/>
      <c r="XCQ23"/>
      <c r="XCR23"/>
      <c r="XCS23"/>
      <c r="XCT23"/>
      <c r="XCU23"/>
      <c r="XCV23"/>
      <c r="XCW23"/>
      <c r="XCX23"/>
      <c r="XCY23"/>
      <c r="XCZ23"/>
      <c r="XDA23"/>
      <c r="XDB23"/>
      <c r="XDC23"/>
      <c r="XDD23"/>
      <c r="XDE23"/>
      <c r="XDF23"/>
      <c r="XDG23"/>
      <c r="XDH23"/>
      <c r="XDI23"/>
      <c r="XDJ23"/>
      <c r="XDK23"/>
      <c r="XDL23"/>
      <c r="XDM23"/>
      <c r="XDN23"/>
      <c r="XDO23"/>
      <c r="XDP23"/>
      <c r="XDQ23"/>
      <c r="XDR23"/>
      <c r="XDS23"/>
      <c r="XDT23"/>
      <c r="XDU23"/>
      <c r="XDV23"/>
      <c r="XDW23"/>
      <c r="XDX23"/>
      <c r="XDY23"/>
      <c r="XDZ23"/>
      <c r="XEA23"/>
      <c r="XEB23"/>
      <c r="XEC23"/>
      <c r="XED23"/>
      <c r="XEE23"/>
      <c r="XEF23"/>
      <c r="XEG23"/>
      <c r="XEH23"/>
      <c r="XEI23"/>
      <c r="XEJ23"/>
      <c r="XEK23"/>
      <c r="XEL23"/>
      <c r="XEM23"/>
      <c r="XEN23"/>
      <c r="XEO23"/>
      <c r="XEP23"/>
      <c r="XEQ23"/>
      <c r="XER23"/>
      <c r="XES23"/>
      <c r="XET23"/>
      <c r="XEU23"/>
      <c r="XEV23"/>
      <c r="XEW23"/>
      <c r="XEX23"/>
      <c r="XEY23"/>
      <c r="XEZ23"/>
      <c r="XFA23"/>
      <c r="XFB23"/>
      <c r="XFC23"/>
      <c r="XFD23"/>
    </row>
    <row r="24" spans="1:16384" s="39" customFormat="1" ht="58.15" customHeight="1">
      <c r="A24" s="209" t="s">
        <v>371</v>
      </c>
      <c r="B24" s="549" t="str">
        <f>IF(HP_1!G11=HP_1!$Q$2,HP_1!$W$2,HP_1!$W$3&amp;" or 
"&amp;HP_1!$W$4)</f>
        <v>Electricity</v>
      </c>
      <c r="C24" s="548"/>
      <c r="D24" s="548"/>
      <c r="E24" s="213"/>
      <c r="F24" s="206" t="s">
        <v>624</v>
      </c>
      <c r="H24" s="35"/>
      <c r="I24" s="43"/>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c r="XBR24"/>
      <c r="XBS24"/>
      <c r="XBT24"/>
      <c r="XBU24"/>
      <c r="XBV24"/>
      <c r="XBW24"/>
      <c r="XBX24"/>
      <c r="XBY24"/>
      <c r="XBZ24"/>
      <c r="XCA24"/>
      <c r="XCB24"/>
      <c r="XCC24"/>
      <c r="XCD24"/>
      <c r="XCE24"/>
      <c r="XCF24"/>
      <c r="XCG24"/>
      <c r="XCH24"/>
      <c r="XCI24"/>
      <c r="XCJ24"/>
      <c r="XCK24"/>
      <c r="XCL24"/>
      <c r="XCM24"/>
      <c r="XCN24"/>
      <c r="XCO24"/>
      <c r="XCP24"/>
      <c r="XCQ24"/>
      <c r="XCR24"/>
      <c r="XCS24"/>
      <c r="XCT24"/>
      <c r="XCU24"/>
      <c r="XCV24"/>
      <c r="XCW24"/>
      <c r="XCX24"/>
      <c r="XCY24"/>
      <c r="XCZ24"/>
      <c r="XDA24"/>
      <c r="XDB24"/>
      <c r="XDC24"/>
      <c r="XDD24"/>
      <c r="XDE24"/>
      <c r="XDF24"/>
      <c r="XDG24"/>
      <c r="XDH24"/>
      <c r="XDI24"/>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c r="XEO24"/>
      <c r="XEP24"/>
      <c r="XEQ24"/>
      <c r="XER24"/>
      <c r="XES24"/>
      <c r="XET24"/>
      <c r="XEU24"/>
      <c r="XEV24"/>
      <c r="XEW24"/>
      <c r="XEX24"/>
      <c r="XEY24"/>
      <c r="XEZ24"/>
      <c r="XFA24"/>
      <c r="XFB24"/>
      <c r="XFC24"/>
      <c r="XFD24"/>
    </row>
    <row r="25" spans="1:16384" s="39" customFormat="1" ht="46.9" customHeight="1">
      <c r="A25" s="209" t="s">
        <v>370</v>
      </c>
      <c r="B25" s="550" t="e">
        <f>IF(I17&gt;0,SUMPRODUCT(B50:D50,B17:D17)/SUM(B17:D17),0)</f>
        <v>#DIV/0!</v>
      </c>
      <c r="C25" s="548"/>
      <c r="D25" s="548"/>
      <c r="E25" s="213" t="s">
        <v>45</v>
      </c>
      <c r="F25" s="206" t="s">
        <v>626</v>
      </c>
      <c r="H25" s="35"/>
      <c r="I25" s="43"/>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c r="AMK25"/>
      <c r="AML25"/>
      <c r="AMM25"/>
      <c r="AMN25"/>
      <c r="AMO25"/>
      <c r="AMP25"/>
      <c r="AMQ25"/>
      <c r="AMR25"/>
      <c r="AMS25"/>
      <c r="AMT25"/>
      <c r="AMU25"/>
      <c r="AMV25"/>
      <c r="AMW25"/>
      <c r="AMX25"/>
      <c r="AMY25"/>
      <c r="AMZ25"/>
      <c r="ANA25"/>
      <c r="ANB25"/>
      <c r="ANC25"/>
      <c r="AND25"/>
      <c r="ANE25"/>
      <c r="ANF25"/>
      <c r="ANG25"/>
      <c r="ANH25"/>
      <c r="ANI25"/>
      <c r="ANJ25"/>
      <c r="ANK25"/>
      <c r="ANL25"/>
      <c r="ANM25"/>
      <c r="ANN25"/>
      <c r="ANO25"/>
      <c r="ANP25"/>
      <c r="ANQ25"/>
      <c r="ANR25"/>
      <c r="ANS25"/>
      <c r="ANT25"/>
      <c r="ANU25"/>
      <c r="ANV25"/>
      <c r="ANW25"/>
      <c r="ANX25"/>
      <c r="ANY25"/>
      <c r="ANZ25"/>
      <c r="AOA25"/>
      <c r="AOB25"/>
      <c r="AOC25"/>
      <c r="AOD25"/>
      <c r="AOE25"/>
      <c r="AOF25"/>
      <c r="AOG25"/>
      <c r="AOH25"/>
      <c r="AOI25"/>
      <c r="AOJ25"/>
      <c r="AOK25"/>
      <c r="AOL25"/>
      <c r="AOM25"/>
      <c r="AON25"/>
      <c r="AOO25"/>
      <c r="AOP25"/>
      <c r="AOQ25"/>
      <c r="AOR25"/>
      <c r="AOS25"/>
      <c r="AOT25"/>
      <c r="AOU25"/>
      <c r="AOV25"/>
      <c r="AOW25"/>
      <c r="AOX25"/>
      <c r="AOY25"/>
      <c r="AOZ25"/>
      <c r="APA25"/>
      <c r="APB25"/>
      <c r="APC25"/>
      <c r="APD25"/>
      <c r="APE25"/>
      <c r="APF25"/>
      <c r="APG25"/>
      <c r="APH25"/>
      <c r="API25"/>
      <c r="APJ25"/>
      <c r="APK25"/>
      <c r="APL25"/>
      <c r="APM25"/>
      <c r="APN25"/>
      <c r="APO25"/>
      <c r="APP25"/>
      <c r="APQ25"/>
      <c r="APR25"/>
      <c r="APS25"/>
      <c r="APT25"/>
      <c r="APU25"/>
      <c r="APV25"/>
      <c r="APW25"/>
      <c r="APX25"/>
      <c r="APY25"/>
      <c r="APZ25"/>
      <c r="AQA25"/>
      <c r="AQB25"/>
      <c r="AQC25"/>
      <c r="AQD25"/>
      <c r="AQE25"/>
      <c r="AQF25"/>
      <c r="AQG25"/>
      <c r="AQH25"/>
      <c r="AQI25"/>
      <c r="AQJ25"/>
      <c r="AQK25"/>
      <c r="AQL25"/>
      <c r="AQM25"/>
      <c r="AQN25"/>
      <c r="AQO25"/>
      <c r="AQP25"/>
      <c r="AQQ25"/>
      <c r="AQR25"/>
      <c r="AQS25"/>
      <c r="AQT25"/>
      <c r="AQU25"/>
      <c r="AQV25"/>
      <c r="AQW25"/>
      <c r="AQX25"/>
      <c r="AQY25"/>
      <c r="AQZ25"/>
      <c r="ARA25"/>
      <c r="ARB25"/>
      <c r="ARC25"/>
      <c r="ARD25"/>
      <c r="ARE25"/>
      <c r="ARF25"/>
      <c r="ARG25"/>
      <c r="ARH25"/>
      <c r="ARI25"/>
      <c r="ARJ25"/>
      <c r="ARK25"/>
      <c r="ARL25"/>
      <c r="ARM25"/>
      <c r="ARN25"/>
      <c r="ARO25"/>
      <c r="ARP25"/>
      <c r="ARQ25"/>
      <c r="ARR25"/>
      <c r="ARS25"/>
      <c r="ART25"/>
      <c r="ARU25"/>
      <c r="ARV25"/>
      <c r="ARW25"/>
      <c r="ARX25"/>
      <c r="ARY25"/>
      <c r="ARZ25"/>
      <c r="ASA25"/>
      <c r="ASB25"/>
      <c r="ASC25"/>
      <c r="ASD25"/>
      <c r="ASE25"/>
      <c r="ASF25"/>
      <c r="ASG25"/>
      <c r="ASH25"/>
      <c r="ASI25"/>
      <c r="ASJ25"/>
      <c r="ASK25"/>
      <c r="ASL25"/>
      <c r="ASM25"/>
      <c r="ASN25"/>
      <c r="ASO25"/>
      <c r="ASP25"/>
      <c r="ASQ25"/>
      <c r="ASR25"/>
      <c r="ASS25"/>
      <c r="AST25"/>
      <c r="ASU25"/>
      <c r="ASV25"/>
      <c r="ASW25"/>
      <c r="ASX25"/>
      <c r="ASY25"/>
      <c r="ASZ25"/>
      <c r="ATA25"/>
      <c r="ATB25"/>
      <c r="ATC25"/>
      <c r="ATD25"/>
      <c r="ATE25"/>
      <c r="ATF25"/>
      <c r="ATG25"/>
      <c r="ATH25"/>
      <c r="ATI25"/>
      <c r="ATJ25"/>
      <c r="ATK25"/>
      <c r="ATL25"/>
      <c r="ATM25"/>
      <c r="ATN25"/>
      <c r="ATO25"/>
      <c r="ATP25"/>
      <c r="ATQ25"/>
      <c r="ATR25"/>
      <c r="ATS25"/>
      <c r="ATT25"/>
      <c r="ATU25"/>
      <c r="ATV25"/>
      <c r="ATW25"/>
      <c r="ATX25"/>
      <c r="ATY25"/>
      <c r="ATZ25"/>
      <c r="AUA25"/>
      <c r="AUB25"/>
      <c r="AUC25"/>
      <c r="AUD25"/>
      <c r="AUE25"/>
      <c r="AUF25"/>
      <c r="AUG25"/>
      <c r="AUH25"/>
      <c r="AUI25"/>
      <c r="AUJ25"/>
      <c r="AUK25"/>
      <c r="AUL25"/>
      <c r="AUM25"/>
      <c r="AUN25"/>
      <c r="AUO25"/>
      <c r="AUP25"/>
      <c r="AUQ25"/>
      <c r="AUR25"/>
      <c r="AUS25"/>
      <c r="AUT25"/>
      <c r="AUU25"/>
      <c r="AUV25"/>
      <c r="AUW25"/>
      <c r="AUX25"/>
      <c r="AUY25"/>
      <c r="AUZ25"/>
      <c r="AVA25"/>
      <c r="AVB25"/>
      <c r="AVC25"/>
      <c r="AVD25"/>
      <c r="AVE25"/>
      <c r="AVF25"/>
      <c r="AVG25"/>
      <c r="AVH25"/>
      <c r="AVI25"/>
      <c r="AVJ25"/>
      <c r="AVK25"/>
      <c r="AVL25"/>
      <c r="AVM25"/>
      <c r="AVN25"/>
      <c r="AVO25"/>
      <c r="AVP25"/>
      <c r="AVQ25"/>
      <c r="AVR25"/>
      <c r="AVS25"/>
      <c r="AVT25"/>
      <c r="AVU25"/>
      <c r="AVV25"/>
      <c r="AVW25"/>
      <c r="AVX25"/>
      <c r="AVY25"/>
      <c r="AVZ25"/>
      <c r="AWA25"/>
      <c r="AWB25"/>
      <c r="AWC25"/>
      <c r="AWD25"/>
      <c r="AWE25"/>
      <c r="AWF25"/>
      <c r="AWG25"/>
      <c r="AWH25"/>
      <c r="AWI25"/>
      <c r="AWJ25"/>
      <c r="AWK25"/>
      <c r="AWL25"/>
      <c r="AWM25"/>
      <c r="AWN25"/>
      <c r="AWO25"/>
      <c r="AWP25"/>
      <c r="AWQ25"/>
      <c r="AWR25"/>
      <c r="AWS25"/>
      <c r="AWT25"/>
      <c r="AWU25"/>
      <c r="AWV25"/>
      <c r="AWW25"/>
      <c r="AWX25"/>
      <c r="AWY25"/>
      <c r="AWZ25"/>
      <c r="AXA25"/>
      <c r="AXB25"/>
      <c r="AXC25"/>
      <c r="AXD25"/>
      <c r="AXE25"/>
      <c r="AXF25"/>
      <c r="AXG25"/>
      <c r="AXH25"/>
      <c r="AXI25"/>
      <c r="AXJ25"/>
      <c r="AXK25"/>
      <c r="AXL25"/>
      <c r="AXM25"/>
      <c r="AXN25"/>
      <c r="AXO25"/>
      <c r="AXP25"/>
      <c r="AXQ25"/>
      <c r="AXR25"/>
      <c r="AXS25"/>
      <c r="AXT25"/>
      <c r="AXU25"/>
      <c r="AXV25"/>
      <c r="AXW25"/>
      <c r="AXX25"/>
      <c r="AXY25"/>
      <c r="AXZ25"/>
      <c r="AYA25"/>
      <c r="AYB25"/>
      <c r="AYC25"/>
      <c r="AYD25"/>
      <c r="AYE25"/>
      <c r="AYF25"/>
      <c r="AYG25"/>
      <c r="AYH25"/>
      <c r="AYI25"/>
      <c r="AYJ25"/>
      <c r="AYK25"/>
      <c r="AYL25"/>
      <c r="AYM25"/>
      <c r="AYN25"/>
      <c r="AYO25"/>
      <c r="AYP25"/>
      <c r="AYQ25"/>
      <c r="AYR25"/>
      <c r="AYS25"/>
      <c r="AYT25"/>
      <c r="AYU25"/>
      <c r="AYV25"/>
      <c r="AYW25"/>
      <c r="AYX25"/>
      <c r="AYY25"/>
      <c r="AYZ25"/>
      <c r="AZA25"/>
      <c r="AZB25"/>
      <c r="AZC25"/>
      <c r="AZD25"/>
      <c r="AZE25"/>
      <c r="AZF25"/>
      <c r="AZG25"/>
      <c r="AZH25"/>
      <c r="AZI25"/>
      <c r="AZJ25"/>
      <c r="AZK25"/>
      <c r="AZL25"/>
      <c r="AZM25"/>
      <c r="AZN25"/>
      <c r="AZO25"/>
      <c r="AZP25"/>
      <c r="AZQ25"/>
      <c r="AZR25"/>
      <c r="AZS25"/>
      <c r="AZT25"/>
      <c r="AZU25"/>
      <c r="AZV25"/>
      <c r="AZW25"/>
      <c r="AZX25"/>
      <c r="AZY25"/>
      <c r="AZZ25"/>
      <c r="BAA25"/>
      <c r="BAB25"/>
      <c r="BAC25"/>
      <c r="BAD25"/>
      <c r="BAE25"/>
      <c r="BAF25"/>
      <c r="BAG25"/>
      <c r="BAH25"/>
      <c r="BAI25"/>
      <c r="BAJ25"/>
      <c r="BAK25"/>
      <c r="BAL25"/>
      <c r="BAM25"/>
      <c r="BAN25"/>
      <c r="BAO25"/>
      <c r="BAP25"/>
      <c r="BAQ25"/>
      <c r="BAR25"/>
      <c r="BAS25"/>
      <c r="BAT25"/>
      <c r="BAU25"/>
      <c r="BAV25"/>
      <c r="BAW25"/>
      <c r="BAX25"/>
      <c r="BAY25"/>
      <c r="BAZ25"/>
      <c r="BBA25"/>
      <c r="BBB25"/>
      <c r="BBC25"/>
      <c r="BBD25"/>
      <c r="BBE25"/>
      <c r="BBF25"/>
      <c r="BBG25"/>
      <c r="BBH25"/>
      <c r="BBI25"/>
      <c r="BBJ25"/>
      <c r="BBK25"/>
      <c r="BBL25"/>
      <c r="BBM25"/>
      <c r="BBN25"/>
      <c r="BBO25"/>
      <c r="BBP25"/>
      <c r="BBQ25"/>
      <c r="BBR25"/>
      <c r="BBS25"/>
      <c r="BBT25"/>
      <c r="BBU25"/>
      <c r="BBV25"/>
      <c r="BBW25"/>
      <c r="BBX25"/>
      <c r="BBY25"/>
      <c r="BBZ25"/>
      <c r="BCA25"/>
      <c r="BCB25"/>
      <c r="BCC25"/>
      <c r="BCD25"/>
      <c r="BCE25"/>
      <c r="BCF25"/>
      <c r="BCG25"/>
      <c r="BCH25"/>
      <c r="BCI25"/>
      <c r="BCJ25"/>
      <c r="BCK25"/>
      <c r="BCL25"/>
      <c r="BCM25"/>
      <c r="BCN25"/>
      <c r="BCO25"/>
      <c r="BCP25"/>
      <c r="BCQ25"/>
      <c r="BCR25"/>
      <c r="BCS25"/>
      <c r="BCT25"/>
      <c r="BCU25"/>
      <c r="BCV25"/>
      <c r="BCW25"/>
      <c r="BCX25"/>
      <c r="BCY25"/>
      <c r="BCZ25"/>
      <c r="BDA25"/>
      <c r="BDB25"/>
      <c r="BDC25"/>
      <c r="BDD25"/>
      <c r="BDE25"/>
      <c r="BDF25"/>
      <c r="BDG25"/>
      <c r="BDH25"/>
      <c r="BDI25"/>
      <c r="BDJ25"/>
      <c r="BDK25"/>
      <c r="BDL25"/>
      <c r="BDM25"/>
      <c r="BDN25"/>
      <c r="BDO25"/>
      <c r="BDP25"/>
      <c r="BDQ25"/>
      <c r="BDR25"/>
      <c r="BDS25"/>
      <c r="BDT25"/>
      <c r="BDU25"/>
      <c r="BDV25"/>
      <c r="BDW25"/>
      <c r="BDX25"/>
      <c r="BDY25"/>
      <c r="BDZ25"/>
      <c r="BEA25"/>
      <c r="BEB25"/>
      <c r="BEC25"/>
      <c r="BED25"/>
      <c r="BEE25"/>
      <c r="BEF25"/>
      <c r="BEG25"/>
      <c r="BEH25"/>
      <c r="BEI25"/>
      <c r="BEJ25"/>
      <c r="BEK25"/>
      <c r="BEL25"/>
      <c r="BEM25"/>
      <c r="BEN25"/>
      <c r="BEO25"/>
      <c r="BEP25"/>
      <c r="BEQ25"/>
      <c r="BER25"/>
      <c r="BES25"/>
      <c r="BET25"/>
      <c r="BEU25"/>
      <c r="BEV25"/>
      <c r="BEW25"/>
      <c r="BEX25"/>
      <c r="BEY25"/>
      <c r="BEZ25"/>
      <c r="BFA25"/>
      <c r="BFB25"/>
      <c r="BFC25"/>
      <c r="BFD25"/>
      <c r="BFE25"/>
      <c r="BFF25"/>
      <c r="BFG25"/>
      <c r="BFH25"/>
      <c r="BFI25"/>
      <c r="BFJ25"/>
      <c r="BFK25"/>
      <c r="BFL25"/>
      <c r="BFM25"/>
      <c r="BFN25"/>
      <c r="BFO25"/>
      <c r="BFP25"/>
      <c r="BFQ25"/>
      <c r="BFR25"/>
      <c r="BFS25"/>
      <c r="BFT25"/>
      <c r="BFU25"/>
      <c r="BFV25"/>
      <c r="BFW25"/>
      <c r="BFX25"/>
      <c r="BFY25"/>
      <c r="BFZ25"/>
      <c r="BGA25"/>
      <c r="BGB25"/>
      <c r="BGC25"/>
      <c r="BGD25"/>
      <c r="BGE25"/>
      <c r="BGF25"/>
      <c r="BGG25"/>
      <c r="BGH25"/>
      <c r="BGI25"/>
      <c r="BGJ25"/>
      <c r="BGK25"/>
      <c r="BGL25"/>
      <c r="BGM25"/>
      <c r="BGN25"/>
      <c r="BGO25"/>
      <c r="BGP25"/>
      <c r="BGQ25"/>
      <c r="BGR25"/>
      <c r="BGS25"/>
      <c r="BGT25"/>
      <c r="BGU25"/>
      <c r="BGV25"/>
      <c r="BGW25"/>
      <c r="BGX25"/>
      <c r="BGY25"/>
      <c r="BGZ25"/>
      <c r="BHA25"/>
      <c r="BHB25"/>
      <c r="BHC25"/>
      <c r="BHD25"/>
      <c r="BHE25"/>
      <c r="BHF25"/>
      <c r="BHG25"/>
      <c r="BHH25"/>
      <c r="BHI25"/>
      <c r="BHJ25"/>
      <c r="BHK25"/>
      <c r="BHL25"/>
      <c r="BHM25"/>
      <c r="BHN25"/>
      <c r="BHO25"/>
      <c r="BHP25"/>
      <c r="BHQ25"/>
      <c r="BHR25"/>
      <c r="BHS25"/>
      <c r="BHT25"/>
      <c r="BHU25"/>
      <c r="BHV25"/>
      <c r="BHW25"/>
      <c r="BHX25"/>
      <c r="BHY25"/>
      <c r="BHZ25"/>
      <c r="BIA25"/>
      <c r="BIB25"/>
      <c r="BIC25"/>
      <c r="BID25"/>
      <c r="BIE25"/>
      <c r="BIF25"/>
      <c r="BIG25"/>
      <c r="BIH25"/>
      <c r="BII25"/>
      <c r="BIJ25"/>
      <c r="BIK25"/>
      <c r="BIL25"/>
      <c r="BIM25"/>
      <c r="BIN25"/>
      <c r="BIO25"/>
      <c r="BIP25"/>
      <c r="BIQ25"/>
      <c r="BIR25"/>
      <c r="BIS25"/>
      <c r="BIT25"/>
      <c r="BIU25"/>
      <c r="BIV25"/>
      <c r="BIW25"/>
      <c r="BIX25"/>
      <c r="BIY25"/>
      <c r="BIZ25"/>
      <c r="BJA25"/>
      <c r="BJB25"/>
      <c r="BJC25"/>
      <c r="BJD25"/>
      <c r="BJE25"/>
      <c r="BJF25"/>
      <c r="BJG25"/>
      <c r="BJH25"/>
      <c r="BJI25"/>
      <c r="BJJ25"/>
      <c r="BJK25"/>
      <c r="BJL25"/>
      <c r="BJM25"/>
      <c r="BJN25"/>
      <c r="BJO25"/>
      <c r="BJP25"/>
      <c r="BJQ25"/>
      <c r="BJR25"/>
      <c r="BJS25"/>
      <c r="BJT25"/>
      <c r="BJU25"/>
      <c r="BJV25"/>
      <c r="BJW25"/>
      <c r="BJX25"/>
      <c r="BJY25"/>
      <c r="BJZ25"/>
      <c r="BKA25"/>
      <c r="BKB25"/>
      <c r="BKC25"/>
      <c r="BKD25"/>
      <c r="BKE25"/>
      <c r="BKF25"/>
      <c r="BKG25"/>
      <c r="BKH25"/>
      <c r="BKI25"/>
      <c r="BKJ25"/>
      <c r="BKK25"/>
      <c r="BKL25"/>
      <c r="BKM25"/>
      <c r="BKN25"/>
      <c r="BKO25"/>
      <c r="BKP25"/>
      <c r="BKQ25"/>
      <c r="BKR25"/>
      <c r="BKS25"/>
      <c r="BKT25"/>
      <c r="BKU25"/>
      <c r="BKV25"/>
      <c r="BKW25"/>
      <c r="BKX25"/>
      <c r="BKY25"/>
      <c r="BKZ25"/>
      <c r="BLA25"/>
      <c r="BLB25"/>
      <c r="BLC25"/>
      <c r="BLD25"/>
      <c r="BLE25"/>
      <c r="BLF25"/>
      <c r="BLG25"/>
      <c r="BLH25"/>
      <c r="BLI25"/>
      <c r="BLJ25"/>
      <c r="BLK25"/>
      <c r="BLL25"/>
      <c r="BLM25"/>
      <c r="BLN25"/>
      <c r="BLO25"/>
      <c r="BLP25"/>
      <c r="BLQ25"/>
      <c r="BLR25"/>
      <c r="BLS25"/>
      <c r="BLT25"/>
      <c r="BLU25"/>
      <c r="BLV25"/>
      <c r="BLW25"/>
      <c r="BLX25"/>
      <c r="BLY25"/>
      <c r="BLZ25"/>
      <c r="BMA25"/>
      <c r="BMB25"/>
      <c r="BMC25"/>
      <c r="BMD25"/>
      <c r="BME25"/>
      <c r="BMF25"/>
      <c r="BMG25"/>
      <c r="BMH25"/>
      <c r="BMI25"/>
      <c r="BMJ25"/>
      <c r="BMK25"/>
      <c r="BML25"/>
      <c r="BMM25"/>
      <c r="BMN25"/>
      <c r="BMO25"/>
      <c r="BMP25"/>
      <c r="BMQ25"/>
      <c r="BMR25"/>
      <c r="BMS25"/>
      <c r="BMT25"/>
      <c r="BMU25"/>
      <c r="BMV25"/>
      <c r="BMW25"/>
      <c r="BMX25"/>
      <c r="BMY25"/>
      <c r="BMZ25"/>
      <c r="BNA25"/>
      <c r="BNB25"/>
      <c r="BNC25"/>
      <c r="BND25"/>
      <c r="BNE25"/>
      <c r="BNF25"/>
      <c r="BNG25"/>
      <c r="BNH25"/>
      <c r="BNI25"/>
      <c r="BNJ25"/>
      <c r="BNK25"/>
      <c r="BNL25"/>
      <c r="BNM25"/>
      <c r="BNN25"/>
      <c r="BNO25"/>
      <c r="BNP25"/>
      <c r="BNQ25"/>
      <c r="BNR25"/>
      <c r="BNS25"/>
      <c r="BNT25"/>
      <c r="BNU25"/>
      <c r="BNV25"/>
      <c r="BNW25"/>
      <c r="BNX25"/>
      <c r="BNY25"/>
      <c r="BNZ25"/>
      <c r="BOA25"/>
      <c r="BOB25"/>
      <c r="BOC25"/>
      <c r="BOD25"/>
      <c r="BOE25"/>
      <c r="BOF25"/>
      <c r="BOG25"/>
      <c r="BOH25"/>
      <c r="BOI25"/>
      <c r="BOJ25"/>
      <c r="BOK25"/>
      <c r="BOL25"/>
      <c r="BOM25"/>
      <c r="BON25"/>
      <c r="BOO25"/>
      <c r="BOP25"/>
      <c r="BOQ25"/>
      <c r="BOR25"/>
      <c r="BOS25"/>
      <c r="BOT25"/>
      <c r="BOU25"/>
      <c r="BOV25"/>
      <c r="BOW25"/>
      <c r="BOX25"/>
      <c r="BOY25"/>
      <c r="BOZ25"/>
      <c r="BPA25"/>
      <c r="BPB25"/>
      <c r="BPC25"/>
      <c r="BPD25"/>
      <c r="BPE25"/>
      <c r="BPF25"/>
      <c r="BPG25"/>
      <c r="BPH25"/>
      <c r="BPI25"/>
      <c r="BPJ25"/>
      <c r="BPK25"/>
      <c r="BPL25"/>
      <c r="BPM25"/>
      <c r="BPN25"/>
      <c r="BPO25"/>
      <c r="BPP25"/>
      <c r="BPQ25"/>
      <c r="BPR25"/>
      <c r="BPS25"/>
      <c r="BPT25"/>
      <c r="BPU25"/>
      <c r="BPV25"/>
      <c r="BPW25"/>
      <c r="BPX25"/>
      <c r="BPY25"/>
      <c r="BPZ25"/>
      <c r="BQA25"/>
      <c r="BQB25"/>
      <c r="BQC25"/>
      <c r="BQD25"/>
      <c r="BQE25"/>
      <c r="BQF25"/>
      <c r="BQG25"/>
      <c r="BQH25"/>
      <c r="BQI25"/>
      <c r="BQJ25"/>
      <c r="BQK25"/>
      <c r="BQL25"/>
      <c r="BQM25"/>
      <c r="BQN25"/>
      <c r="BQO25"/>
      <c r="BQP25"/>
      <c r="BQQ25"/>
      <c r="BQR25"/>
      <c r="BQS25"/>
      <c r="BQT25"/>
      <c r="BQU25"/>
      <c r="BQV25"/>
      <c r="BQW25"/>
      <c r="BQX25"/>
      <c r="BQY25"/>
      <c r="BQZ25"/>
      <c r="BRA25"/>
      <c r="BRB25"/>
      <c r="BRC25"/>
      <c r="BRD25"/>
      <c r="BRE25"/>
      <c r="BRF25"/>
      <c r="BRG25"/>
      <c r="BRH25"/>
      <c r="BRI25"/>
      <c r="BRJ25"/>
      <c r="BRK25"/>
      <c r="BRL25"/>
      <c r="BRM25"/>
      <c r="BRN25"/>
      <c r="BRO25"/>
      <c r="BRP25"/>
      <c r="BRQ25"/>
      <c r="BRR25"/>
      <c r="BRS25"/>
      <c r="BRT25"/>
      <c r="BRU25"/>
      <c r="BRV25"/>
      <c r="BRW25"/>
      <c r="BRX25"/>
      <c r="BRY25"/>
      <c r="BRZ25"/>
      <c r="BSA25"/>
      <c r="BSB25"/>
      <c r="BSC25"/>
      <c r="BSD25"/>
      <c r="BSE25"/>
      <c r="BSF25"/>
      <c r="BSG25"/>
      <c r="BSH25"/>
      <c r="BSI25"/>
      <c r="BSJ25"/>
      <c r="BSK25"/>
      <c r="BSL25"/>
      <c r="BSM25"/>
      <c r="BSN25"/>
      <c r="BSO25"/>
      <c r="BSP25"/>
      <c r="BSQ25"/>
      <c r="BSR25"/>
      <c r="BSS25"/>
      <c r="BST25"/>
      <c r="BSU25"/>
      <c r="BSV25"/>
      <c r="BSW25"/>
      <c r="BSX25"/>
      <c r="BSY25"/>
      <c r="BSZ25"/>
      <c r="BTA25"/>
      <c r="BTB25"/>
      <c r="BTC25"/>
      <c r="BTD25"/>
      <c r="BTE25"/>
      <c r="BTF25"/>
      <c r="BTG25"/>
      <c r="BTH25"/>
      <c r="BTI25"/>
      <c r="BTJ25"/>
      <c r="BTK25"/>
      <c r="BTL25"/>
      <c r="BTM25"/>
      <c r="BTN25"/>
      <c r="BTO25"/>
      <c r="BTP25"/>
      <c r="BTQ25"/>
      <c r="BTR25"/>
      <c r="BTS25"/>
      <c r="BTT25"/>
      <c r="BTU25"/>
      <c r="BTV25"/>
      <c r="BTW25"/>
      <c r="BTX25"/>
      <c r="BTY25"/>
      <c r="BTZ25"/>
      <c r="BUA25"/>
      <c r="BUB25"/>
      <c r="BUC25"/>
      <c r="BUD25"/>
      <c r="BUE25"/>
      <c r="BUF25"/>
      <c r="BUG25"/>
      <c r="BUH25"/>
      <c r="BUI25"/>
      <c r="BUJ25"/>
      <c r="BUK25"/>
      <c r="BUL25"/>
      <c r="BUM25"/>
      <c r="BUN25"/>
      <c r="BUO25"/>
      <c r="BUP25"/>
      <c r="BUQ25"/>
      <c r="BUR25"/>
      <c r="BUS25"/>
      <c r="BUT25"/>
      <c r="BUU25"/>
      <c r="BUV25"/>
      <c r="BUW25"/>
      <c r="BUX25"/>
      <c r="BUY25"/>
      <c r="BUZ25"/>
      <c r="BVA25"/>
      <c r="BVB25"/>
      <c r="BVC25"/>
      <c r="BVD25"/>
      <c r="BVE25"/>
      <c r="BVF25"/>
      <c r="BVG25"/>
      <c r="BVH25"/>
      <c r="BVI25"/>
      <c r="BVJ25"/>
      <c r="BVK25"/>
      <c r="BVL25"/>
      <c r="BVM25"/>
      <c r="BVN25"/>
      <c r="BVO25"/>
      <c r="BVP25"/>
      <c r="BVQ25"/>
      <c r="BVR25"/>
      <c r="BVS25"/>
      <c r="BVT25"/>
      <c r="BVU25"/>
      <c r="BVV25"/>
      <c r="BVW25"/>
      <c r="BVX25"/>
      <c r="BVY25"/>
      <c r="BVZ25"/>
      <c r="BWA25"/>
      <c r="BWB25"/>
      <c r="BWC25"/>
      <c r="BWD25"/>
      <c r="BWE25"/>
      <c r="BWF25"/>
      <c r="BWG25"/>
      <c r="BWH25"/>
      <c r="BWI25"/>
      <c r="BWJ25"/>
      <c r="BWK25"/>
      <c r="BWL25"/>
      <c r="BWM25"/>
      <c r="BWN25"/>
      <c r="BWO25"/>
      <c r="BWP25"/>
      <c r="BWQ25"/>
      <c r="BWR25"/>
      <c r="BWS25"/>
      <c r="BWT25"/>
      <c r="BWU25"/>
      <c r="BWV25"/>
      <c r="BWW25"/>
      <c r="BWX25"/>
      <c r="BWY25"/>
      <c r="BWZ25"/>
      <c r="BXA25"/>
      <c r="BXB25"/>
      <c r="BXC25"/>
      <c r="BXD25"/>
      <c r="BXE25"/>
      <c r="BXF25"/>
      <c r="BXG25"/>
      <c r="BXH25"/>
      <c r="BXI25"/>
      <c r="BXJ25"/>
      <c r="BXK25"/>
      <c r="BXL25"/>
      <c r="BXM25"/>
      <c r="BXN25"/>
      <c r="BXO25"/>
      <c r="BXP25"/>
      <c r="BXQ25"/>
      <c r="BXR25"/>
      <c r="BXS25"/>
      <c r="BXT25"/>
      <c r="BXU25"/>
      <c r="BXV25"/>
      <c r="BXW25"/>
      <c r="BXX25"/>
      <c r="BXY25"/>
      <c r="BXZ25"/>
      <c r="BYA25"/>
      <c r="BYB25"/>
      <c r="BYC25"/>
      <c r="BYD25"/>
      <c r="BYE25"/>
      <c r="BYF25"/>
      <c r="BYG25"/>
      <c r="BYH25"/>
      <c r="BYI25"/>
      <c r="BYJ25"/>
      <c r="BYK25"/>
      <c r="BYL25"/>
      <c r="BYM25"/>
      <c r="BYN25"/>
      <c r="BYO25"/>
      <c r="BYP25"/>
      <c r="BYQ25"/>
      <c r="BYR25"/>
      <c r="BYS25"/>
      <c r="BYT25"/>
      <c r="BYU25"/>
      <c r="BYV25"/>
      <c r="BYW25"/>
      <c r="BYX25"/>
      <c r="BYY25"/>
      <c r="BYZ25"/>
      <c r="BZA25"/>
      <c r="BZB25"/>
      <c r="BZC25"/>
      <c r="BZD25"/>
      <c r="BZE25"/>
      <c r="BZF25"/>
      <c r="BZG25"/>
      <c r="BZH25"/>
      <c r="BZI25"/>
      <c r="BZJ25"/>
      <c r="BZK25"/>
      <c r="BZL25"/>
      <c r="BZM25"/>
      <c r="BZN25"/>
      <c r="BZO25"/>
      <c r="BZP25"/>
      <c r="BZQ25"/>
      <c r="BZR25"/>
      <c r="BZS25"/>
      <c r="BZT25"/>
      <c r="BZU25"/>
      <c r="BZV25"/>
      <c r="BZW25"/>
      <c r="BZX25"/>
      <c r="BZY25"/>
      <c r="BZZ25"/>
      <c r="CAA25"/>
      <c r="CAB25"/>
      <c r="CAC25"/>
      <c r="CAD25"/>
      <c r="CAE25"/>
      <c r="CAF25"/>
      <c r="CAG25"/>
      <c r="CAH25"/>
      <c r="CAI25"/>
      <c r="CAJ25"/>
      <c r="CAK25"/>
      <c r="CAL25"/>
      <c r="CAM25"/>
      <c r="CAN25"/>
      <c r="CAO25"/>
      <c r="CAP25"/>
      <c r="CAQ25"/>
      <c r="CAR25"/>
      <c r="CAS25"/>
      <c r="CAT25"/>
      <c r="CAU25"/>
      <c r="CAV25"/>
      <c r="CAW25"/>
      <c r="CAX25"/>
      <c r="CAY25"/>
      <c r="CAZ25"/>
      <c r="CBA25"/>
      <c r="CBB25"/>
      <c r="CBC25"/>
      <c r="CBD25"/>
      <c r="CBE25"/>
      <c r="CBF25"/>
      <c r="CBG25"/>
      <c r="CBH25"/>
      <c r="CBI25"/>
      <c r="CBJ25"/>
      <c r="CBK25"/>
      <c r="CBL25"/>
      <c r="CBM25"/>
      <c r="CBN25"/>
      <c r="CBO25"/>
      <c r="CBP25"/>
      <c r="CBQ25"/>
      <c r="CBR25"/>
      <c r="CBS25"/>
      <c r="CBT25"/>
      <c r="CBU25"/>
      <c r="CBV25"/>
      <c r="CBW25"/>
      <c r="CBX25"/>
      <c r="CBY25"/>
      <c r="CBZ25"/>
      <c r="CCA25"/>
      <c r="CCB25"/>
      <c r="CCC25"/>
      <c r="CCD25"/>
      <c r="CCE25"/>
      <c r="CCF25"/>
      <c r="CCG25"/>
      <c r="CCH25"/>
      <c r="CCI25"/>
      <c r="CCJ25"/>
      <c r="CCK25"/>
      <c r="CCL25"/>
      <c r="CCM25"/>
      <c r="CCN25"/>
      <c r="CCO25"/>
      <c r="CCP25"/>
      <c r="CCQ25"/>
      <c r="CCR25"/>
      <c r="CCS25"/>
      <c r="CCT25"/>
      <c r="CCU25"/>
      <c r="CCV25"/>
      <c r="CCW25"/>
      <c r="CCX25"/>
      <c r="CCY25"/>
      <c r="CCZ25"/>
      <c r="CDA25"/>
      <c r="CDB25"/>
      <c r="CDC25"/>
      <c r="CDD25"/>
      <c r="CDE25"/>
      <c r="CDF25"/>
      <c r="CDG25"/>
      <c r="CDH25"/>
      <c r="CDI25"/>
      <c r="CDJ25"/>
      <c r="CDK25"/>
      <c r="CDL25"/>
      <c r="CDM25"/>
      <c r="CDN25"/>
      <c r="CDO25"/>
      <c r="CDP25"/>
      <c r="CDQ25"/>
      <c r="CDR25"/>
      <c r="CDS25"/>
      <c r="CDT25"/>
      <c r="CDU25"/>
      <c r="CDV25"/>
      <c r="CDW25"/>
      <c r="CDX25"/>
      <c r="CDY25"/>
      <c r="CDZ25"/>
      <c r="CEA25"/>
      <c r="CEB25"/>
      <c r="CEC25"/>
      <c r="CED25"/>
      <c r="CEE25"/>
      <c r="CEF25"/>
      <c r="CEG25"/>
      <c r="CEH25"/>
      <c r="CEI25"/>
      <c r="CEJ25"/>
      <c r="CEK25"/>
      <c r="CEL25"/>
      <c r="CEM25"/>
      <c r="CEN25"/>
      <c r="CEO25"/>
      <c r="CEP25"/>
      <c r="CEQ25"/>
      <c r="CER25"/>
      <c r="CES25"/>
      <c r="CET25"/>
      <c r="CEU25"/>
      <c r="CEV25"/>
      <c r="CEW25"/>
      <c r="CEX25"/>
      <c r="CEY25"/>
      <c r="CEZ25"/>
      <c r="CFA25"/>
      <c r="CFB25"/>
      <c r="CFC25"/>
      <c r="CFD25"/>
      <c r="CFE25"/>
      <c r="CFF25"/>
      <c r="CFG25"/>
      <c r="CFH25"/>
      <c r="CFI25"/>
      <c r="CFJ25"/>
      <c r="CFK25"/>
      <c r="CFL25"/>
      <c r="CFM25"/>
      <c r="CFN25"/>
      <c r="CFO25"/>
      <c r="CFP25"/>
      <c r="CFQ25"/>
      <c r="CFR25"/>
      <c r="CFS25"/>
      <c r="CFT25"/>
      <c r="CFU25"/>
      <c r="CFV25"/>
      <c r="CFW25"/>
      <c r="CFX25"/>
      <c r="CFY25"/>
      <c r="CFZ25"/>
      <c r="CGA25"/>
      <c r="CGB25"/>
      <c r="CGC25"/>
      <c r="CGD25"/>
      <c r="CGE25"/>
      <c r="CGF25"/>
      <c r="CGG25"/>
      <c r="CGH25"/>
      <c r="CGI25"/>
      <c r="CGJ25"/>
      <c r="CGK25"/>
      <c r="CGL25"/>
      <c r="CGM25"/>
      <c r="CGN25"/>
      <c r="CGO25"/>
      <c r="CGP25"/>
      <c r="CGQ25"/>
      <c r="CGR25"/>
      <c r="CGS25"/>
      <c r="CGT25"/>
      <c r="CGU25"/>
      <c r="CGV25"/>
      <c r="CGW25"/>
      <c r="CGX25"/>
      <c r="CGY25"/>
      <c r="CGZ25"/>
      <c r="CHA25"/>
      <c r="CHB25"/>
      <c r="CHC25"/>
      <c r="CHD25"/>
      <c r="CHE25"/>
      <c r="CHF25"/>
      <c r="CHG25"/>
      <c r="CHH25"/>
      <c r="CHI25"/>
      <c r="CHJ25"/>
      <c r="CHK25"/>
      <c r="CHL25"/>
      <c r="CHM25"/>
      <c r="CHN25"/>
      <c r="CHO25"/>
      <c r="CHP25"/>
      <c r="CHQ25"/>
      <c r="CHR25"/>
      <c r="CHS25"/>
      <c r="CHT25"/>
      <c r="CHU25"/>
      <c r="CHV25"/>
      <c r="CHW25"/>
      <c r="CHX25"/>
      <c r="CHY25"/>
      <c r="CHZ25"/>
      <c r="CIA25"/>
      <c r="CIB25"/>
      <c r="CIC25"/>
      <c r="CID25"/>
      <c r="CIE25"/>
      <c r="CIF25"/>
      <c r="CIG25"/>
      <c r="CIH25"/>
      <c r="CII25"/>
      <c r="CIJ25"/>
      <c r="CIK25"/>
      <c r="CIL25"/>
      <c r="CIM25"/>
      <c r="CIN25"/>
      <c r="CIO25"/>
      <c r="CIP25"/>
      <c r="CIQ25"/>
      <c r="CIR25"/>
      <c r="CIS25"/>
      <c r="CIT25"/>
      <c r="CIU25"/>
      <c r="CIV25"/>
      <c r="CIW25"/>
      <c r="CIX25"/>
      <c r="CIY25"/>
      <c r="CIZ25"/>
      <c r="CJA25"/>
      <c r="CJB25"/>
      <c r="CJC25"/>
      <c r="CJD25"/>
      <c r="CJE25"/>
      <c r="CJF25"/>
      <c r="CJG25"/>
      <c r="CJH25"/>
      <c r="CJI25"/>
      <c r="CJJ25"/>
      <c r="CJK25"/>
      <c r="CJL25"/>
      <c r="CJM25"/>
      <c r="CJN25"/>
      <c r="CJO25"/>
      <c r="CJP25"/>
      <c r="CJQ25"/>
      <c r="CJR25"/>
      <c r="CJS25"/>
      <c r="CJT25"/>
      <c r="CJU25"/>
      <c r="CJV25"/>
      <c r="CJW25"/>
      <c r="CJX25"/>
      <c r="CJY25"/>
      <c r="CJZ25"/>
      <c r="CKA25"/>
      <c r="CKB25"/>
      <c r="CKC25"/>
      <c r="CKD25"/>
      <c r="CKE25"/>
      <c r="CKF25"/>
      <c r="CKG25"/>
      <c r="CKH25"/>
      <c r="CKI25"/>
      <c r="CKJ25"/>
      <c r="CKK25"/>
      <c r="CKL25"/>
      <c r="CKM25"/>
      <c r="CKN25"/>
      <c r="CKO25"/>
      <c r="CKP25"/>
      <c r="CKQ25"/>
      <c r="CKR25"/>
      <c r="CKS25"/>
      <c r="CKT25"/>
      <c r="CKU25"/>
      <c r="CKV25"/>
      <c r="CKW25"/>
      <c r="CKX25"/>
      <c r="CKY25"/>
      <c r="CKZ25"/>
      <c r="CLA25"/>
      <c r="CLB25"/>
      <c r="CLC25"/>
      <c r="CLD25"/>
      <c r="CLE25"/>
      <c r="CLF25"/>
      <c r="CLG25"/>
      <c r="CLH25"/>
      <c r="CLI25"/>
      <c r="CLJ25"/>
      <c r="CLK25"/>
      <c r="CLL25"/>
      <c r="CLM25"/>
      <c r="CLN25"/>
      <c r="CLO25"/>
      <c r="CLP25"/>
      <c r="CLQ25"/>
      <c r="CLR25"/>
      <c r="CLS25"/>
      <c r="CLT25"/>
      <c r="CLU25"/>
      <c r="CLV25"/>
      <c r="CLW25"/>
      <c r="CLX25"/>
      <c r="CLY25"/>
      <c r="CLZ25"/>
      <c r="CMA25"/>
      <c r="CMB25"/>
      <c r="CMC25"/>
      <c r="CMD25"/>
      <c r="CME25"/>
      <c r="CMF25"/>
      <c r="CMG25"/>
      <c r="CMH25"/>
      <c r="CMI25"/>
      <c r="CMJ25"/>
      <c r="CMK25"/>
      <c r="CML25"/>
      <c r="CMM25"/>
      <c r="CMN25"/>
      <c r="CMO25"/>
      <c r="CMP25"/>
      <c r="CMQ25"/>
      <c r="CMR25"/>
      <c r="CMS25"/>
      <c r="CMT25"/>
      <c r="CMU25"/>
      <c r="CMV25"/>
      <c r="CMW25"/>
      <c r="CMX25"/>
      <c r="CMY25"/>
      <c r="CMZ25"/>
      <c r="CNA25"/>
      <c r="CNB25"/>
      <c r="CNC25"/>
      <c r="CND25"/>
      <c r="CNE25"/>
      <c r="CNF25"/>
      <c r="CNG25"/>
      <c r="CNH25"/>
      <c r="CNI25"/>
      <c r="CNJ25"/>
      <c r="CNK25"/>
      <c r="CNL25"/>
      <c r="CNM25"/>
      <c r="CNN25"/>
      <c r="CNO25"/>
      <c r="CNP25"/>
      <c r="CNQ25"/>
      <c r="CNR25"/>
      <c r="CNS25"/>
      <c r="CNT25"/>
      <c r="CNU25"/>
      <c r="CNV25"/>
      <c r="CNW25"/>
      <c r="CNX25"/>
      <c r="CNY25"/>
      <c r="CNZ25"/>
      <c r="COA25"/>
      <c r="COB25"/>
      <c r="COC25"/>
      <c r="COD25"/>
      <c r="COE25"/>
      <c r="COF25"/>
      <c r="COG25"/>
      <c r="COH25"/>
      <c r="COI25"/>
      <c r="COJ25"/>
      <c r="COK25"/>
      <c r="COL25"/>
      <c r="COM25"/>
      <c r="CON25"/>
      <c r="COO25"/>
      <c r="COP25"/>
      <c r="COQ25"/>
      <c r="COR25"/>
      <c r="COS25"/>
      <c r="COT25"/>
      <c r="COU25"/>
      <c r="COV25"/>
      <c r="COW25"/>
      <c r="COX25"/>
      <c r="COY25"/>
      <c r="COZ25"/>
      <c r="CPA25"/>
      <c r="CPB25"/>
      <c r="CPC25"/>
      <c r="CPD25"/>
      <c r="CPE25"/>
      <c r="CPF25"/>
      <c r="CPG25"/>
      <c r="CPH25"/>
      <c r="CPI25"/>
      <c r="CPJ25"/>
      <c r="CPK25"/>
      <c r="CPL25"/>
      <c r="CPM25"/>
      <c r="CPN25"/>
      <c r="CPO25"/>
      <c r="CPP25"/>
      <c r="CPQ25"/>
      <c r="CPR25"/>
      <c r="CPS25"/>
      <c r="CPT25"/>
      <c r="CPU25"/>
      <c r="CPV25"/>
      <c r="CPW25"/>
      <c r="CPX25"/>
      <c r="CPY25"/>
      <c r="CPZ25"/>
      <c r="CQA25"/>
      <c r="CQB25"/>
      <c r="CQC25"/>
      <c r="CQD25"/>
      <c r="CQE25"/>
      <c r="CQF25"/>
      <c r="CQG25"/>
      <c r="CQH25"/>
      <c r="CQI25"/>
      <c r="CQJ25"/>
      <c r="CQK25"/>
      <c r="CQL25"/>
      <c r="CQM25"/>
      <c r="CQN25"/>
      <c r="CQO25"/>
      <c r="CQP25"/>
      <c r="CQQ25"/>
      <c r="CQR25"/>
      <c r="CQS25"/>
      <c r="CQT25"/>
      <c r="CQU25"/>
      <c r="CQV25"/>
      <c r="CQW25"/>
      <c r="CQX25"/>
      <c r="CQY25"/>
      <c r="CQZ25"/>
      <c r="CRA25"/>
      <c r="CRB25"/>
      <c r="CRC25"/>
      <c r="CRD25"/>
      <c r="CRE25"/>
      <c r="CRF25"/>
      <c r="CRG25"/>
      <c r="CRH25"/>
      <c r="CRI25"/>
      <c r="CRJ25"/>
      <c r="CRK25"/>
      <c r="CRL25"/>
      <c r="CRM25"/>
      <c r="CRN25"/>
      <c r="CRO25"/>
      <c r="CRP25"/>
      <c r="CRQ25"/>
      <c r="CRR25"/>
      <c r="CRS25"/>
      <c r="CRT25"/>
      <c r="CRU25"/>
      <c r="CRV25"/>
      <c r="CRW25"/>
      <c r="CRX25"/>
      <c r="CRY25"/>
      <c r="CRZ25"/>
      <c r="CSA25"/>
      <c r="CSB25"/>
      <c r="CSC25"/>
      <c r="CSD25"/>
      <c r="CSE25"/>
      <c r="CSF25"/>
      <c r="CSG25"/>
      <c r="CSH25"/>
      <c r="CSI25"/>
      <c r="CSJ25"/>
      <c r="CSK25"/>
      <c r="CSL25"/>
      <c r="CSM25"/>
      <c r="CSN25"/>
      <c r="CSO25"/>
      <c r="CSP25"/>
      <c r="CSQ25"/>
      <c r="CSR25"/>
      <c r="CSS25"/>
      <c r="CST25"/>
      <c r="CSU25"/>
      <c r="CSV25"/>
      <c r="CSW25"/>
      <c r="CSX25"/>
      <c r="CSY25"/>
      <c r="CSZ25"/>
      <c r="CTA25"/>
      <c r="CTB25"/>
      <c r="CTC25"/>
      <c r="CTD25"/>
      <c r="CTE25"/>
      <c r="CTF25"/>
      <c r="CTG25"/>
      <c r="CTH25"/>
      <c r="CTI25"/>
      <c r="CTJ25"/>
      <c r="CTK25"/>
      <c r="CTL25"/>
      <c r="CTM25"/>
      <c r="CTN25"/>
      <c r="CTO25"/>
      <c r="CTP25"/>
      <c r="CTQ25"/>
      <c r="CTR25"/>
      <c r="CTS25"/>
      <c r="CTT25"/>
      <c r="CTU25"/>
      <c r="CTV25"/>
      <c r="CTW25"/>
      <c r="CTX25"/>
      <c r="CTY25"/>
      <c r="CTZ25"/>
      <c r="CUA25"/>
      <c r="CUB25"/>
      <c r="CUC25"/>
      <c r="CUD25"/>
      <c r="CUE25"/>
      <c r="CUF25"/>
      <c r="CUG25"/>
      <c r="CUH25"/>
      <c r="CUI25"/>
      <c r="CUJ25"/>
      <c r="CUK25"/>
      <c r="CUL25"/>
      <c r="CUM25"/>
      <c r="CUN25"/>
      <c r="CUO25"/>
      <c r="CUP25"/>
      <c r="CUQ25"/>
      <c r="CUR25"/>
      <c r="CUS25"/>
      <c r="CUT25"/>
      <c r="CUU25"/>
      <c r="CUV25"/>
      <c r="CUW25"/>
      <c r="CUX25"/>
      <c r="CUY25"/>
      <c r="CUZ25"/>
      <c r="CVA25"/>
      <c r="CVB25"/>
      <c r="CVC25"/>
      <c r="CVD25"/>
      <c r="CVE25"/>
      <c r="CVF25"/>
      <c r="CVG25"/>
      <c r="CVH25"/>
      <c r="CVI25"/>
      <c r="CVJ25"/>
      <c r="CVK25"/>
      <c r="CVL25"/>
      <c r="CVM25"/>
      <c r="CVN25"/>
      <c r="CVO25"/>
      <c r="CVP25"/>
      <c r="CVQ25"/>
      <c r="CVR25"/>
      <c r="CVS25"/>
      <c r="CVT25"/>
      <c r="CVU25"/>
      <c r="CVV25"/>
      <c r="CVW25"/>
      <c r="CVX25"/>
      <c r="CVY25"/>
      <c r="CVZ25"/>
      <c r="CWA25"/>
      <c r="CWB25"/>
      <c r="CWC25"/>
      <c r="CWD25"/>
      <c r="CWE25"/>
      <c r="CWF25"/>
      <c r="CWG25"/>
      <c r="CWH25"/>
      <c r="CWI25"/>
      <c r="CWJ25"/>
      <c r="CWK25"/>
      <c r="CWL25"/>
      <c r="CWM25"/>
      <c r="CWN25"/>
      <c r="CWO25"/>
      <c r="CWP25"/>
      <c r="CWQ25"/>
      <c r="CWR25"/>
      <c r="CWS25"/>
      <c r="CWT25"/>
      <c r="CWU25"/>
      <c r="CWV25"/>
      <c r="CWW25"/>
      <c r="CWX25"/>
      <c r="CWY25"/>
      <c r="CWZ25"/>
      <c r="CXA25"/>
      <c r="CXB25"/>
      <c r="CXC25"/>
      <c r="CXD25"/>
      <c r="CXE25"/>
      <c r="CXF25"/>
      <c r="CXG25"/>
      <c r="CXH25"/>
      <c r="CXI25"/>
      <c r="CXJ25"/>
      <c r="CXK25"/>
      <c r="CXL25"/>
      <c r="CXM25"/>
      <c r="CXN25"/>
      <c r="CXO25"/>
      <c r="CXP25"/>
      <c r="CXQ25"/>
      <c r="CXR25"/>
      <c r="CXS25"/>
      <c r="CXT25"/>
      <c r="CXU25"/>
      <c r="CXV25"/>
      <c r="CXW25"/>
      <c r="CXX25"/>
      <c r="CXY25"/>
      <c r="CXZ25"/>
      <c r="CYA25"/>
      <c r="CYB25"/>
      <c r="CYC25"/>
      <c r="CYD25"/>
      <c r="CYE25"/>
      <c r="CYF25"/>
      <c r="CYG25"/>
      <c r="CYH25"/>
      <c r="CYI25"/>
      <c r="CYJ25"/>
      <c r="CYK25"/>
      <c r="CYL25"/>
      <c r="CYM25"/>
      <c r="CYN25"/>
      <c r="CYO25"/>
      <c r="CYP25"/>
      <c r="CYQ25"/>
      <c r="CYR25"/>
      <c r="CYS25"/>
      <c r="CYT25"/>
      <c r="CYU25"/>
      <c r="CYV25"/>
      <c r="CYW25"/>
      <c r="CYX25"/>
      <c r="CYY25"/>
      <c r="CYZ25"/>
      <c r="CZA25"/>
      <c r="CZB25"/>
      <c r="CZC25"/>
      <c r="CZD25"/>
      <c r="CZE25"/>
      <c r="CZF25"/>
      <c r="CZG25"/>
      <c r="CZH25"/>
      <c r="CZI25"/>
      <c r="CZJ25"/>
      <c r="CZK25"/>
      <c r="CZL25"/>
      <c r="CZM25"/>
      <c r="CZN25"/>
      <c r="CZO25"/>
      <c r="CZP25"/>
      <c r="CZQ25"/>
      <c r="CZR25"/>
      <c r="CZS25"/>
      <c r="CZT25"/>
      <c r="CZU25"/>
      <c r="CZV25"/>
      <c r="CZW25"/>
      <c r="CZX25"/>
      <c r="CZY25"/>
      <c r="CZZ25"/>
      <c r="DAA25"/>
      <c r="DAB25"/>
      <c r="DAC25"/>
      <c r="DAD25"/>
      <c r="DAE25"/>
      <c r="DAF25"/>
      <c r="DAG25"/>
      <c r="DAH25"/>
      <c r="DAI25"/>
      <c r="DAJ25"/>
      <c r="DAK25"/>
      <c r="DAL25"/>
      <c r="DAM25"/>
      <c r="DAN25"/>
      <c r="DAO25"/>
      <c r="DAP25"/>
      <c r="DAQ25"/>
      <c r="DAR25"/>
      <c r="DAS25"/>
      <c r="DAT25"/>
      <c r="DAU25"/>
      <c r="DAV25"/>
      <c r="DAW25"/>
      <c r="DAX25"/>
      <c r="DAY25"/>
      <c r="DAZ25"/>
      <c r="DBA25"/>
      <c r="DBB25"/>
      <c r="DBC25"/>
      <c r="DBD25"/>
      <c r="DBE25"/>
      <c r="DBF25"/>
      <c r="DBG25"/>
      <c r="DBH25"/>
      <c r="DBI25"/>
      <c r="DBJ25"/>
      <c r="DBK25"/>
      <c r="DBL25"/>
      <c r="DBM25"/>
      <c r="DBN25"/>
      <c r="DBO25"/>
      <c r="DBP25"/>
      <c r="DBQ25"/>
      <c r="DBR25"/>
      <c r="DBS25"/>
      <c r="DBT25"/>
      <c r="DBU25"/>
      <c r="DBV25"/>
      <c r="DBW25"/>
      <c r="DBX25"/>
      <c r="DBY25"/>
      <c r="DBZ25"/>
      <c r="DCA25"/>
      <c r="DCB25"/>
      <c r="DCC25"/>
      <c r="DCD25"/>
      <c r="DCE25"/>
      <c r="DCF25"/>
      <c r="DCG25"/>
      <c r="DCH25"/>
      <c r="DCI25"/>
      <c r="DCJ25"/>
      <c r="DCK25"/>
      <c r="DCL25"/>
      <c r="DCM25"/>
      <c r="DCN25"/>
      <c r="DCO25"/>
      <c r="DCP25"/>
      <c r="DCQ25"/>
      <c r="DCR25"/>
      <c r="DCS25"/>
      <c r="DCT25"/>
      <c r="DCU25"/>
      <c r="DCV25"/>
      <c r="DCW25"/>
      <c r="DCX25"/>
      <c r="DCY25"/>
      <c r="DCZ25"/>
      <c r="DDA25"/>
      <c r="DDB25"/>
      <c r="DDC25"/>
      <c r="DDD25"/>
      <c r="DDE25"/>
      <c r="DDF25"/>
      <c r="DDG25"/>
      <c r="DDH25"/>
      <c r="DDI25"/>
      <c r="DDJ25"/>
      <c r="DDK25"/>
      <c r="DDL25"/>
      <c r="DDM25"/>
      <c r="DDN25"/>
      <c r="DDO25"/>
      <c r="DDP25"/>
      <c r="DDQ25"/>
      <c r="DDR25"/>
      <c r="DDS25"/>
      <c r="DDT25"/>
      <c r="DDU25"/>
      <c r="DDV25"/>
      <c r="DDW25"/>
      <c r="DDX25"/>
      <c r="DDY25"/>
      <c r="DDZ25"/>
      <c r="DEA25"/>
      <c r="DEB25"/>
      <c r="DEC25"/>
      <c r="DED25"/>
      <c r="DEE25"/>
      <c r="DEF25"/>
      <c r="DEG25"/>
      <c r="DEH25"/>
      <c r="DEI25"/>
      <c r="DEJ25"/>
      <c r="DEK25"/>
      <c r="DEL25"/>
      <c r="DEM25"/>
      <c r="DEN25"/>
      <c r="DEO25"/>
      <c r="DEP25"/>
      <c r="DEQ25"/>
      <c r="DER25"/>
      <c r="DES25"/>
      <c r="DET25"/>
      <c r="DEU25"/>
      <c r="DEV25"/>
      <c r="DEW25"/>
      <c r="DEX25"/>
      <c r="DEY25"/>
      <c r="DEZ25"/>
      <c r="DFA25"/>
      <c r="DFB25"/>
      <c r="DFC25"/>
      <c r="DFD25"/>
      <c r="DFE25"/>
      <c r="DFF25"/>
      <c r="DFG25"/>
      <c r="DFH25"/>
      <c r="DFI25"/>
      <c r="DFJ25"/>
      <c r="DFK25"/>
      <c r="DFL25"/>
      <c r="DFM25"/>
      <c r="DFN25"/>
      <c r="DFO25"/>
      <c r="DFP25"/>
      <c r="DFQ25"/>
      <c r="DFR25"/>
      <c r="DFS25"/>
      <c r="DFT25"/>
      <c r="DFU25"/>
      <c r="DFV25"/>
      <c r="DFW25"/>
      <c r="DFX25"/>
      <c r="DFY25"/>
      <c r="DFZ25"/>
      <c r="DGA25"/>
      <c r="DGB25"/>
      <c r="DGC25"/>
      <c r="DGD25"/>
      <c r="DGE25"/>
      <c r="DGF25"/>
      <c r="DGG25"/>
      <c r="DGH25"/>
      <c r="DGI25"/>
      <c r="DGJ25"/>
      <c r="DGK25"/>
      <c r="DGL25"/>
      <c r="DGM25"/>
      <c r="DGN25"/>
      <c r="DGO25"/>
      <c r="DGP25"/>
      <c r="DGQ25"/>
      <c r="DGR25"/>
      <c r="DGS25"/>
      <c r="DGT25"/>
      <c r="DGU25"/>
      <c r="DGV25"/>
      <c r="DGW25"/>
      <c r="DGX25"/>
      <c r="DGY25"/>
      <c r="DGZ25"/>
      <c r="DHA25"/>
      <c r="DHB25"/>
      <c r="DHC25"/>
      <c r="DHD25"/>
      <c r="DHE25"/>
      <c r="DHF25"/>
      <c r="DHG25"/>
      <c r="DHH25"/>
      <c r="DHI25"/>
      <c r="DHJ25"/>
      <c r="DHK25"/>
      <c r="DHL25"/>
      <c r="DHM25"/>
      <c r="DHN25"/>
      <c r="DHO25"/>
      <c r="DHP25"/>
      <c r="DHQ25"/>
      <c r="DHR25"/>
      <c r="DHS25"/>
      <c r="DHT25"/>
      <c r="DHU25"/>
      <c r="DHV25"/>
      <c r="DHW25"/>
      <c r="DHX25"/>
      <c r="DHY25"/>
      <c r="DHZ25"/>
      <c r="DIA25"/>
      <c r="DIB25"/>
      <c r="DIC25"/>
      <c r="DID25"/>
      <c r="DIE25"/>
      <c r="DIF25"/>
      <c r="DIG25"/>
      <c r="DIH25"/>
      <c r="DII25"/>
      <c r="DIJ25"/>
      <c r="DIK25"/>
      <c r="DIL25"/>
      <c r="DIM25"/>
      <c r="DIN25"/>
      <c r="DIO25"/>
      <c r="DIP25"/>
      <c r="DIQ25"/>
      <c r="DIR25"/>
      <c r="DIS25"/>
      <c r="DIT25"/>
      <c r="DIU25"/>
      <c r="DIV25"/>
      <c r="DIW25"/>
      <c r="DIX25"/>
      <c r="DIY25"/>
      <c r="DIZ25"/>
      <c r="DJA25"/>
      <c r="DJB25"/>
      <c r="DJC25"/>
      <c r="DJD25"/>
      <c r="DJE25"/>
      <c r="DJF25"/>
      <c r="DJG25"/>
      <c r="DJH25"/>
      <c r="DJI25"/>
      <c r="DJJ25"/>
      <c r="DJK25"/>
      <c r="DJL25"/>
      <c r="DJM25"/>
      <c r="DJN25"/>
      <c r="DJO25"/>
      <c r="DJP25"/>
      <c r="DJQ25"/>
      <c r="DJR25"/>
      <c r="DJS25"/>
      <c r="DJT25"/>
      <c r="DJU25"/>
      <c r="DJV25"/>
      <c r="DJW25"/>
      <c r="DJX25"/>
      <c r="DJY25"/>
      <c r="DJZ25"/>
      <c r="DKA25"/>
      <c r="DKB25"/>
      <c r="DKC25"/>
      <c r="DKD25"/>
      <c r="DKE25"/>
      <c r="DKF25"/>
      <c r="DKG25"/>
      <c r="DKH25"/>
      <c r="DKI25"/>
      <c r="DKJ25"/>
      <c r="DKK25"/>
      <c r="DKL25"/>
      <c r="DKM25"/>
      <c r="DKN25"/>
      <c r="DKO25"/>
      <c r="DKP25"/>
      <c r="DKQ25"/>
      <c r="DKR25"/>
      <c r="DKS25"/>
      <c r="DKT25"/>
      <c r="DKU25"/>
      <c r="DKV25"/>
      <c r="DKW25"/>
      <c r="DKX25"/>
      <c r="DKY25"/>
      <c r="DKZ25"/>
      <c r="DLA25"/>
      <c r="DLB25"/>
      <c r="DLC25"/>
      <c r="DLD25"/>
      <c r="DLE25"/>
      <c r="DLF25"/>
      <c r="DLG25"/>
      <c r="DLH25"/>
      <c r="DLI25"/>
      <c r="DLJ25"/>
      <c r="DLK25"/>
      <c r="DLL25"/>
      <c r="DLM25"/>
      <c r="DLN25"/>
      <c r="DLO25"/>
      <c r="DLP25"/>
      <c r="DLQ25"/>
      <c r="DLR25"/>
      <c r="DLS25"/>
      <c r="DLT25"/>
      <c r="DLU25"/>
      <c r="DLV25"/>
      <c r="DLW25"/>
      <c r="DLX25"/>
      <c r="DLY25"/>
      <c r="DLZ25"/>
      <c r="DMA25"/>
      <c r="DMB25"/>
      <c r="DMC25"/>
      <c r="DMD25"/>
      <c r="DME25"/>
      <c r="DMF25"/>
      <c r="DMG25"/>
      <c r="DMH25"/>
      <c r="DMI25"/>
      <c r="DMJ25"/>
      <c r="DMK25"/>
      <c r="DML25"/>
      <c r="DMM25"/>
      <c r="DMN25"/>
      <c r="DMO25"/>
      <c r="DMP25"/>
      <c r="DMQ25"/>
      <c r="DMR25"/>
      <c r="DMS25"/>
      <c r="DMT25"/>
      <c r="DMU25"/>
      <c r="DMV25"/>
      <c r="DMW25"/>
      <c r="DMX25"/>
      <c r="DMY25"/>
      <c r="DMZ25"/>
      <c r="DNA25"/>
      <c r="DNB25"/>
      <c r="DNC25"/>
      <c r="DND25"/>
      <c r="DNE25"/>
      <c r="DNF25"/>
      <c r="DNG25"/>
      <c r="DNH25"/>
      <c r="DNI25"/>
      <c r="DNJ25"/>
      <c r="DNK25"/>
      <c r="DNL25"/>
      <c r="DNM25"/>
      <c r="DNN25"/>
      <c r="DNO25"/>
      <c r="DNP25"/>
      <c r="DNQ25"/>
      <c r="DNR25"/>
      <c r="DNS25"/>
      <c r="DNT25"/>
      <c r="DNU25"/>
      <c r="DNV25"/>
      <c r="DNW25"/>
      <c r="DNX25"/>
      <c r="DNY25"/>
      <c r="DNZ25"/>
      <c r="DOA25"/>
      <c r="DOB25"/>
      <c r="DOC25"/>
      <c r="DOD25"/>
      <c r="DOE25"/>
      <c r="DOF25"/>
      <c r="DOG25"/>
      <c r="DOH25"/>
      <c r="DOI25"/>
      <c r="DOJ25"/>
      <c r="DOK25"/>
      <c r="DOL25"/>
      <c r="DOM25"/>
      <c r="DON25"/>
      <c r="DOO25"/>
      <c r="DOP25"/>
      <c r="DOQ25"/>
      <c r="DOR25"/>
      <c r="DOS25"/>
      <c r="DOT25"/>
      <c r="DOU25"/>
      <c r="DOV25"/>
      <c r="DOW25"/>
      <c r="DOX25"/>
      <c r="DOY25"/>
      <c r="DOZ25"/>
      <c r="DPA25"/>
      <c r="DPB25"/>
      <c r="DPC25"/>
      <c r="DPD25"/>
      <c r="DPE25"/>
      <c r="DPF25"/>
      <c r="DPG25"/>
      <c r="DPH25"/>
      <c r="DPI25"/>
      <c r="DPJ25"/>
      <c r="DPK25"/>
      <c r="DPL25"/>
      <c r="DPM25"/>
      <c r="DPN25"/>
      <c r="DPO25"/>
      <c r="DPP25"/>
      <c r="DPQ25"/>
      <c r="DPR25"/>
      <c r="DPS25"/>
      <c r="DPT25"/>
      <c r="DPU25"/>
      <c r="DPV25"/>
      <c r="DPW25"/>
      <c r="DPX25"/>
      <c r="DPY25"/>
      <c r="DPZ25"/>
      <c r="DQA25"/>
      <c r="DQB25"/>
      <c r="DQC25"/>
      <c r="DQD25"/>
      <c r="DQE25"/>
      <c r="DQF25"/>
      <c r="DQG25"/>
      <c r="DQH25"/>
      <c r="DQI25"/>
      <c r="DQJ25"/>
      <c r="DQK25"/>
      <c r="DQL25"/>
      <c r="DQM25"/>
      <c r="DQN25"/>
      <c r="DQO25"/>
      <c r="DQP25"/>
      <c r="DQQ25"/>
      <c r="DQR25"/>
      <c r="DQS25"/>
      <c r="DQT25"/>
      <c r="DQU25"/>
      <c r="DQV25"/>
      <c r="DQW25"/>
      <c r="DQX25"/>
      <c r="DQY25"/>
      <c r="DQZ25"/>
      <c r="DRA25"/>
      <c r="DRB25"/>
      <c r="DRC25"/>
      <c r="DRD25"/>
      <c r="DRE25"/>
      <c r="DRF25"/>
      <c r="DRG25"/>
      <c r="DRH25"/>
      <c r="DRI25"/>
      <c r="DRJ25"/>
      <c r="DRK25"/>
      <c r="DRL25"/>
      <c r="DRM25"/>
      <c r="DRN25"/>
      <c r="DRO25"/>
      <c r="DRP25"/>
      <c r="DRQ25"/>
      <c r="DRR25"/>
      <c r="DRS25"/>
      <c r="DRT25"/>
      <c r="DRU25"/>
      <c r="DRV25"/>
      <c r="DRW25"/>
      <c r="DRX25"/>
      <c r="DRY25"/>
      <c r="DRZ25"/>
      <c r="DSA25"/>
      <c r="DSB25"/>
      <c r="DSC25"/>
      <c r="DSD25"/>
      <c r="DSE25"/>
      <c r="DSF25"/>
      <c r="DSG25"/>
      <c r="DSH25"/>
      <c r="DSI25"/>
      <c r="DSJ25"/>
      <c r="DSK25"/>
      <c r="DSL25"/>
      <c r="DSM25"/>
      <c r="DSN25"/>
      <c r="DSO25"/>
      <c r="DSP25"/>
      <c r="DSQ25"/>
      <c r="DSR25"/>
      <c r="DSS25"/>
      <c r="DST25"/>
      <c r="DSU25"/>
      <c r="DSV25"/>
      <c r="DSW25"/>
      <c r="DSX25"/>
      <c r="DSY25"/>
      <c r="DSZ25"/>
      <c r="DTA25"/>
      <c r="DTB25"/>
      <c r="DTC25"/>
      <c r="DTD25"/>
      <c r="DTE25"/>
      <c r="DTF25"/>
      <c r="DTG25"/>
      <c r="DTH25"/>
      <c r="DTI25"/>
      <c r="DTJ25"/>
      <c r="DTK25"/>
      <c r="DTL25"/>
      <c r="DTM25"/>
      <c r="DTN25"/>
      <c r="DTO25"/>
      <c r="DTP25"/>
      <c r="DTQ25"/>
      <c r="DTR25"/>
      <c r="DTS25"/>
      <c r="DTT25"/>
      <c r="DTU25"/>
      <c r="DTV25"/>
      <c r="DTW25"/>
      <c r="DTX25"/>
      <c r="DTY25"/>
      <c r="DTZ25"/>
      <c r="DUA25"/>
      <c r="DUB25"/>
      <c r="DUC25"/>
      <c r="DUD25"/>
      <c r="DUE25"/>
      <c r="DUF25"/>
      <c r="DUG25"/>
      <c r="DUH25"/>
      <c r="DUI25"/>
      <c r="DUJ25"/>
      <c r="DUK25"/>
      <c r="DUL25"/>
      <c r="DUM25"/>
      <c r="DUN25"/>
      <c r="DUO25"/>
      <c r="DUP25"/>
      <c r="DUQ25"/>
      <c r="DUR25"/>
      <c r="DUS25"/>
      <c r="DUT25"/>
      <c r="DUU25"/>
      <c r="DUV25"/>
      <c r="DUW25"/>
      <c r="DUX25"/>
      <c r="DUY25"/>
      <c r="DUZ25"/>
      <c r="DVA25"/>
      <c r="DVB25"/>
      <c r="DVC25"/>
      <c r="DVD25"/>
      <c r="DVE25"/>
      <c r="DVF25"/>
      <c r="DVG25"/>
      <c r="DVH25"/>
      <c r="DVI25"/>
      <c r="DVJ25"/>
      <c r="DVK25"/>
      <c r="DVL25"/>
      <c r="DVM25"/>
      <c r="DVN25"/>
      <c r="DVO25"/>
      <c r="DVP25"/>
      <c r="DVQ25"/>
      <c r="DVR25"/>
      <c r="DVS25"/>
      <c r="DVT25"/>
      <c r="DVU25"/>
      <c r="DVV25"/>
      <c r="DVW25"/>
      <c r="DVX25"/>
      <c r="DVY25"/>
      <c r="DVZ25"/>
      <c r="DWA25"/>
      <c r="DWB25"/>
      <c r="DWC25"/>
      <c r="DWD25"/>
      <c r="DWE25"/>
      <c r="DWF25"/>
      <c r="DWG25"/>
      <c r="DWH25"/>
      <c r="DWI25"/>
      <c r="DWJ25"/>
      <c r="DWK25"/>
      <c r="DWL25"/>
      <c r="DWM25"/>
      <c r="DWN25"/>
      <c r="DWO25"/>
      <c r="DWP25"/>
      <c r="DWQ25"/>
      <c r="DWR25"/>
      <c r="DWS25"/>
      <c r="DWT25"/>
      <c r="DWU25"/>
      <c r="DWV25"/>
      <c r="DWW25"/>
      <c r="DWX25"/>
      <c r="DWY25"/>
      <c r="DWZ25"/>
      <c r="DXA25"/>
      <c r="DXB25"/>
      <c r="DXC25"/>
      <c r="DXD25"/>
      <c r="DXE25"/>
      <c r="DXF25"/>
      <c r="DXG25"/>
      <c r="DXH25"/>
      <c r="DXI25"/>
      <c r="DXJ25"/>
      <c r="DXK25"/>
      <c r="DXL25"/>
      <c r="DXM25"/>
      <c r="DXN25"/>
      <c r="DXO25"/>
      <c r="DXP25"/>
      <c r="DXQ25"/>
      <c r="DXR25"/>
      <c r="DXS25"/>
      <c r="DXT25"/>
      <c r="DXU25"/>
      <c r="DXV25"/>
      <c r="DXW25"/>
      <c r="DXX25"/>
      <c r="DXY25"/>
      <c r="DXZ25"/>
      <c r="DYA25"/>
      <c r="DYB25"/>
      <c r="DYC25"/>
      <c r="DYD25"/>
      <c r="DYE25"/>
      <c r="DYF25"/>
      <c r="DYG25"/>
      <c r="DYH25"/>
      <c r="DYI25"/>
      <c r="DYJ25"/>
      <c r="DYK25"/>
      <c r="DYL25"/>
      <c r="DYM25"/>
      <c r="DYN25"/>
      <c r="DYO25"/>
      <c r="DYP25"/>
      <c r="DYQ25"/>
      <c r="DYR25"/>
      <c r="DYS25"/>
      <c r="DYT25"/>
      <c r="DYU25"/>
      <c r="DYV25"/>
      <c r="DYW25"/>
      <c r="DYX25"/>
      <c r="DYY25"/>
      <c r="DYZ25"/>
      <c r="DZA25"/>
      <c r="DZB25"/>
      <c r="DZC25"/>
      <c r="DZD25"/>
      <c r="DZE25"/>
      <c r="DZF25"/>
      <c r="DZG25"/>
      <c r="DZH25"/>
      <c r="DZI25"/>
      <c r="DZJ25"/>
      <c r="DZK25"/>
      <c r="DZL25"/>
      <c r="DZM25"/>
      <c r="DZN25"/>
      <c r="DZO25"/>
      <c r="DZP25"/>
      <c r="DZQ25"/>
      <c r="DZR25"/>
      <c r="DZS25"/>
      <c r="DZT25"/>
      <c r="DZU25"/>
      <c r="DZV25"/>
      <c r="DZW25"/>
      <c r="DZX25"/>
      <c r="DZY25"/>
      <c r="DZZ25"/>
      <c r="EAA25"/>
      <c r="EAB25"/>
      <c r="EAC25"/>
      <c r="EAD25"/>
      <c r="EAE25"/>
      <c r="EAF25"/>
      <c r="EAG25"/>
      <c r="EAH25"/>
      <c r="EAI25"/>
      <c r="EAJ25"/>
      <c r="EAK25"/>
      <c r="EAL25"/>
      <c r="EAM25"/>
      <c r="EAN25"/>
      <c r="EAO25"/>
      <c r="EAP25"/>
      <c r="EAQ25"/>
      <c r="EAR25"/>
      <c r="EAS25"/>
      <c r="EAT25"/>
      <c r="EAU25"/>
      <c r="EAV25"/>
      <c r="EAW25"/>
      <c r="EAX25"/>
      <c r="EAY25"/>
      <c r="EAZ25"/>
      <c r="EBA25"/>
      <c r="EBB25"/>
      <c r="EBC25"/>
      <c r="EBD25"/>
      <c r="EBE25"/>
      <c r="EBF25"/>
      <c r="EBG25"/>
      <c r="EBH25"/>
      <c r="EBI25"/>
      <c r="EBJ25"/>
      <c r="EBK25"/>
      <c r="EBL25"/>
      <c r="EBM25"/>
      <c r="EBN25"/>
      <c r="EBO25"/>
      <c r="EBP25"/>
      <c r="EBQ25"/>
      <c r="EBR25"/>
      <c r="EBS25"/>
      <c r="EBT25"/>
      <c r="EBU25"/>
      <c r="EBV25"/>
      <c r="EBW25"/>
      <c r="EBX25"/>
      <c r="EBY25"/>
      <c r="EBZ25"/>
      <c r="ECA25"/>
      <c r="ECB25"/>
      <c r="ECC25"/>
      <c r="ECD25"/>
      <c r="ECE25"/>
      <c r="ECF25"/>
      <c r="ECG25"/>
      <c r="ECH25"/>
      <c r="ECI25"/>
      <c r="ECJ25"/>
      <c r="ECK25"/>
      <c r="ECL25"/>
      <c r="ECM25"/>
      <c r="ECN25"/>
      <c r="ECO25"/>
      <c r="ECP25"/>
      <c r="ECQ25"/>
      <c r="ECR25"/>
      <c r="ECS25"/>
      <c r="ECT25"/>
      <c r="ECU25"/>
      <c r="ECV25"/>
      <c r="ECW25"/>
      <c r="ECX25"/>
      <c r="ECY25"/>
      <c r="ECZ25"/>
      <c r="EDA25"/>
      <c r="EDB25"/>
      <c r="EDC25"/>
      <c r="EDD25"/>
      <c r="EDE25"/>
      <c r="EDF25"/>
      <c r="EDG25"/>
      <c r="EDH25"/>
      <c r="EDI25"/>
      <c r="EDJ25"/>
      <c r="EDK25"/>
      <c r="EDL25"/>
      <c r="EDM25"/>
      <c r="EDN25"/>
      <c r="EDO25"/>
      <c r="EDP25"/>
      <c r="EDQ25"/>
      <c r="EDR25"/>
      <c r="EDS25"/>
      <c r="EDT25"/>
      <c r="EDU25"/>
      <c r="EDV25"/>
      <c r="EDW25"/>
      <c r="EDX25"/>
      <c r="EDY25"/>
      <c r="EDZ25"/>
      <c r="EEA25"/>
      <c r="EEB25"/>
      <c r="EEC25"/>
      <c r="EED25"/>
      <c r="EEE25"/>
      <c r="EEF25"/>
      <c r="EEG25"/>
      <c r="EEH25"/>
      <c r="EEI25"/>
      <c r="EEJ25"/>
      <c r="EEK25"/>
      <c r="EEL25"/>
      <c r="EEM25"/>
      <c r="EEN25"/>
      <c r="EEO25"/>
      <c r="EEP25"/>
      <c r="EEQ25"/>
      <c r="EER25"/>
      <c r="EES25"/>
      <c r="EET25"/>
      <c r="EEU25"/>
      <c r="EEV25"/>
      <c r="EEW25"/>
      <c r="EEX25"/>
      <c r="EEY25"/>
      <c r="EEZ25"/>
      <c r="EFA25"/>
      <c r="EFB25"/>
      <c r="EFC25"/>
      <c r="EFD25"/>
      <c r="EFE25"/>
      <c r="EFF25"/>
      <c r="EFG25"/>
      <c r="EFH25"/>
      <c r="EFI25"/>
      <c r="EFJ25"/>
      <c r="EFK25"/>
      <c r="EFL25"/>
      <c r="EFM25"/>
      <c r="EFN25"/>
      <c r="EFO25"/>
      <c r="EFP25"/>
      <c r="EFQ25"/>
      <c r="EFR25"/>
      <c r="EFS25"/>
      <c r="EFT25"/>
      <c r="EFU25"/>
      <c r="EFV25"/>
      <c r="EFW25"/>
      <c r="EFX25"/>
      <c r="EFY25"/>
      <c r="EFZ25"/>
      <c r="EGA25"/>
      <c r="EGB25"/>
      <c r="EGC25"/>
      <c r="EGD25"/>
      <c r="EGE25"/>
      <c r="EGF25"/>
      <c r="EGG25"/>
      <c r="EGH25"/>
      <c r="EGI25"/>
      <c r="EGJ25"/>
      <c r="EGK25"/>
      <c r="EGL25"/>
      <c r="EGM25"/>
      <c r="EGN25"/>
      <c r="EGO25"/>
      <c r="EGP25"/>
      <c r="EGQ25"/>
      <c r="EGR25"/>
      <c r="EGS25"/>
      <c r="EGT25"/>
      <c r="EGU25"/>
      <c r="EGV25"/>
      <c r="EGW25"/>
      <c r="EGX25"/>
      <c r="EGY25"/>
      <c r="EGZ25"/>
      <c r="EHA25"/>
      <c r="EHB25"/>
      <c r="EHC25"/>
      <c r="EHD25"/>
      <c r="EHE25"/>
      <c r="EHF25"/>
      <c r="EHG25"/>
      <c r="EHH25"/>
      <c r="EHI25"/>
      <c r="EHJ25"/>
      <c r="EHK25"/>
      <c r="EHL25"/>
      <c r="EHM25"/>
      <c r="EHN25"/>
      <c r="EHO25"/>
      <c r="EHP25"/>
      <c r="EHQ25"/>
      <c r="EHR25"/>
      <c r="EHS25"/>
      <c r="EHT25"/>
      <c r="EHU25"/>
      <c r="EHV25"/>
      <c r="EHW25"/>
      <c r="EHX25"/>
      <c r="EHY25"/>
      <c r="EHZ25"/>
      <c r="EIA25"/>
      <c r="EIB25"/>
      <c r="EIC25"/>
      <c r="EID25"/>
      <c r="EIE25"/>
      <c r="EIF25"/>
      <c r="EIG25"/>
      <c r="EIH25"/>
      <c r="EII25"/>
      <c r="EIJ25"/>
      <c r="EIK25"/>
      <c r="EIL25"/>
      <c r="EIM25"/>
      <c r="EIN25"/>
      <c r="EIO25"/>
      <c r="EIP25"/>
      <c r="EIQ25"/>
      <c r="EIR25"/>
      <c r="EIS25"/>
      <c r="EIT25"/>
      <c r="EIU25"/>
      <c r="EIV25"/>
      <c r="EIW25"/>
      <c r="EIX25"/>
      <c r="EIY25"/>
      <c r="EIZ25"/>
      <c r="EJA25"/>
      <c r="EJB25"/>
      <c r="EJC25"/>
      <c r="EJD25"/>
      <c r="EJE25"/>
      <c r="EJF25"/>
      <c r="EJG25"/>
      <c r="EJH25"/>
      <c r="EJI25"/>
      <c r="EJJ25"/>
      <c r="EJK25"/>
      <c r="EJL25"/>
      <c r="EJM25"/>
      <c r="EJN25"/>
      <c r="EJO25"/>
      <c r="EJP25"/>
      <c r="EJQ25"/>
      <c r="EJR25"/>
      <c r="EJS25"/>
      <c r="EJT25"/>
      <c r="EJU25"/>
      <c r="EJV25"/>
      <c r="EJW25"/>
      <c r="EJX25"/>
      <c r="EJY25"/>
      <c r="EJZ25"/>
      <c r="EKA25"/>
      <c r="EKB25"/>
      <c r="EKC25"/>
      <c r="EKD25"/>
      <c r="EKE25"/>
      <c r="EKF25"/>
      <c r="EKG25"/>
      <c r="EKH25"/>
      <c r="EKI25"/>
      <c r="EKJ25"/>
      <c r="EKK25"/>
      <c r="EKL25"/>
      <c r="EKM25"/>
      <c r="EKN25"/>
      <c r="EKO25"/>
      <c r="EKP25"/>
      <c r="EKQ25"/>
      <c r="EKR25"/>
      <c r="EKS25"/>
      <c r="EKT25"/>
      <c r="EKU25"/>
      <c r="EKV25"/>
      <c r="EKW25"/>
      <c r="EKX25"/>
      <c r="EKY25"/>
      <c r="EKZ25"/>
      <c r="ELA25"/>
      <c r="ELB25"/>
      <c r="ELC25"/>
      <c r="ELD25"/>
      <c r="ELE25"/>
      <c r="ELF25"/>
      <c r="ELG25"/>
      <c r="ELH25"/>
      <c r="ELI25"/>
      <c r="ELJ25"/>
      <c r="ELK25"/>
      <c r="ELL25"/>
      <c r="ELM25"/>
      <c r="ELN25"/>
      <c r="ELO25"/>
      <c r="ELP25"/>
      <c r="ELQ25"/>
      <c r="ELR25"/>
      <c r="ELS25"/>
      <c r="ELT25"/>
      <c r="ELU25"/>
      <c r="ELV25"/>
      <c r="ELW25"/>
      <c r="ELX25"/>
      <c r="ELY25"/>
      <c r="ELZ25"/>
      <c r="EMA25"/>
      <c r="EMB25"/>
      <c r="EMC25"/>
      <c r="EMD25"/>
      <c r="EME25"/>
      <c r="EMF25"/>
      <c r="EMG25"/>
      <c r="EMH25"/>
      <c r="EMI25"/>
      <c r="EMJ25"/>
      <c r="EMK25"/>
      <c r="EML25"/>
      <c r="EMM25"/>
      <c r="EMN25"/>
      <c r="EMO25"/>
      <c r="EMP25"/>
      <c r="EMQ25"/>
      <c r="EMR25"/>
      <c r="EMS25"/>
      <c r="EMT25"/>
      <c r="EMU25"/>
      <c r="EMV25"/>
      <c r="EMW25"/>
      <c r="EMX25"/>
      <c r="EMY25"/>
      <c r="EMZ25"/>
      <c r="ENA25"/>
      <c r="ENB25"/>
      <c r="ENC25"/>
      <c r="END25"/>
      <c r="ENE25"/>
      <c r="ENF25"/>
      <c r="ENG25"/>
      <c r="ENH25"/>
      <c r="ENI25"/>
      <c r="ENJ25"/>
      <c r="ENK25"/>
      <c r="ENL25"/>
      <c r="ENM25"/>
      <c r="ENN25"/>
      <c r="ENO25"/>
      <c r="ENP25"/>
      <c r="ENQ25"/>
      <c r="ENR25"/>
      <c r="ENS25"/>
      <c r="ENT25"/>
      <c r="ENU25"/>
      <c r="ENV25"/>
      <c r="ENW25"/>
      <c r="ENX25"/>
      <c r="ENY25"/>
      <c r="ENZ25"/>
      <c r="EOA25"/>
      <c r="EOB25"/>
      <c r="EOC25"/>
      <c r="EOD25"/>
      <c r="EOE25"/>
      <c r="EOF25"/>
      <c r="EOG25"/>
      <c r="EOH25"/>
      <c r="EOI25"/>
      <c r="EOJ25"/>
      <c r="EOK25"/>
      <c r="EOL25"/>
      <c r="EOM25"/>
      <c r="EON25"/>
      <c r="EOO25"/>
      <c r="EOP25"/>
      <c r="EOQ25"/>
      <c r="EOR25"/>
      <c r="EOS25"/>
      <c r="EOT25"/>
      <c r="EOU25"/>
      <c r="EOV25"/>
      <c r="EOW25"/>
      <c r="EOX25"/>
      <c r="EOY25"/>
      <c r="EOZ25"/>
      <c r="EPA25"/>
      <c r="EPB25"/>
      <c r="EPC25"/>
      <c r="EPD25"/>
      <c r="EPE25"/>
      <c r="EPF25"/>
      <c r="EPG25"/>
      <c r="EPH25"/>
      <c r="EPI25"/>
      <c r="EPJ25"/>
      <c r="EPK25"/>
      <c r="EPL25"/>
      <c r="EPM25"/>
      <c r="EPN25"/>
      <c r="EPO25"/>
      <c r="EPP25"/>
      <c r="EPQ25"/>
      <c r="EPR25"/>
      <c r="EPS25"/>
      <c r="EPT25"/>
      <c r="EPU25"/>
      <c r="EPV25"/>
      <c r="EPW25"/>
      <c r="EPX25"/>
      <c r="EPY25"/>
      <c r="EPZ25"/>
      <c r="EQA25"/>
      <c r="EQB25"/>
      <c r="EQC25"/>
      <c r="EQD25"/>
      <c r="EQE25"/>
      <c r="EQF25"/>
      <c r="EQG25"/>
      <c r="EQH25"/>
      <c r="EQI25"/>
      <c r="EQJ25"/>
      <c r="EQK25"/>
      <c r="EQL25"/>
      <c r="EQM25"/>
      <c r="EQN25"/>
      <c r="EQO25"/>
      <c r="EQP25"/>
      <c r="EQQ25"/>
      <c r="EQR25"/>
      <c r="EQS25"/>
      <c r="EQT25"/>
      <c r="EQU25"/>
      <c r="EQV25"/>
      <c r="EQW25"/>
      <c r="EQX25"/>
      <c r="EQY25"/>
      <c r="EQZ25"/>
      <c r="ERA25"/>
      <c r="ERB25"/>
      <c r="ERC25"/>
      <c r="ERD25"/>
      <c r="ERE25"/>
      <c r="ERF25"/>
      <c r="ERG25"/>
      <c r="ERH25"/>
      <c r="ERI25"/>
      <c r="ERJ25"/>
      <c r="ERK25"/>
      <c r="ERL25"/>
      <c r="ERM25"/>
      <c r="ERN25"/>
      <c r="ERO25"/>
      <c r="ERP25"/>
      <c r="ERQ25"/>
      <c r="ERR25"/>
      <c r="ERS25"/>
      <c r="ERT25"/>
      <c r="ERU25"/>
      <c r="ERV25"/>
      <c r="ERW25"/>
      <c r="ERX25"/>
      <c r="ERY25"/>
      <c r="ERZ25"/>
      <c r="ESA25"/>
      <c r="ESB25"/>
      <c r="ESC25"/>
      <c r="ESD25"/>
      <c r="ESE25"/>
      <c r="ESF25"/>
      <c r="ESG25"/>
      <c r="ESH25"/>
      <c r="ESI25"/>
      <c r="ESJ25"/>
      <c r="ESK25"/>
      <c r="ESL25"/>
      <c r="ESM25"/>
      <c r="ESN25"/>
      <c r="ESO25"/>
      <c r="ESP25"/>
      <c r="ESQ25"/>
      <c r="ESR25"/>
      <c r="ESS25"/>
      <c r="EST25"/>
      <c r="ESU25"/>
      <c r="ESV25"/>
      <c r="ESW25"/>
      <c r="ESX25"/>
      <c r="ESY25"/>
      <c r="ESZ25"/>
      <c r="ETA25"/>
      <c r="ETB25"/>
      <c r="ETC25"/>
      <c r="ETD25"/>
      <c r="ETE25"/>
      <c r="ETF25"/>
      <c r="ETG25"/>
      <c r="ETH25"/>
      <c r="ETI25"/>
      <c r="ETJ25"/>
      <c r="ETK25"/>
      <c r="ETL25"/>
      <c r="ETM25"/>
      <c r="ETN25"/>
      <c r="ETO25"/>
      <c r="ETP25"/>
      <c r="ETQ25"/>
      <c r="ETR25"/>
      <c r="ETS25"/>
      <c r="ETT25"/>
      <c r="ETU25"/>
      <c r="ETV25"/>
      <c r="ETW25"/>
      <c r="ETX25"/>
      <c r="ETY25"/>
      <c r="ETZ25"/>
      <c r="EUA25"/>
      <c r="EUB25"/>
      <c r="EUC25"/>
      <c r="EUD25"/>
      <c r="EUE25"/>
      <c r="EUF25"/>
      <c r="EUG25"/>
      <c r="EUH25"/>
      <c r="EUI25"/>
      <c r="EUJ25"/>
      <c r="EUK25"/>
      <c r="EUL25"/>
      <c r="EUM25"/>
      <c r="EUN25"/>
      <c r="EUO25"/>
      <c r="EUP25"/>
      <c r="EUQ25"/>
      <c r="EUR25"/>
      <c r="EUS25"/>
      <c r="EUT25"/>
      <c r="EUU25"/>
      <c r="EUV25"/>
      <c r="EUW25"/>
      <c r="EUX25"/>
      <c r="EUY25"/>
      <c r="EUZ25"/>
      <c r="EVA25"/>
      <c r="EVB25"/>
      <c r="EVC25"/>
      <c r="EVD25"/>
      <c r="EVE25"/>
      <c r="EVF25"/>
      <c r="EVG25"/>
      <c r="EVH25"/>
      <c r="EVI25"/>
      <c r="EVJ25"/>
      <c r="EVK25"/>
      <c r="EVL25"/>
      <c r="EVM25"/>
      <c r="EVN25"/>
      <c r="EVO25"/>
      <c r="EVP25"/>
      <c r="EVQ25"/>
      <c r="EVR25"/>
      <c r="EVS25"/>
      <c r="EVT25"/>
      <c r="EVU25"/>
      <c r="EVV25"/>
      <c r="EVW25"/>
      <c r="EVX25"/>
      <c r="EVY25"/>
      <c r="EVZ25"/>
      <c r="EWA25"/>
      <c r="EWB25"/>
      <c r="EWC25"/>
      <c r="EWD25"/>
      <c r="EWE25"/>
      <c r="EWF25"/>
      <c r="EWG25"/>
      <c r="EWH25"/>
      <c r="EWI25"/>
      <c r="EWJ25"/>
      <c r="EWK25"/>
      <c r="EWL25"/>
      <c r="EWM25"/>
      <c r="EWN25"/>
      <c r="EWO25"/>
      <c r="EWP25"/>
      <c r="EWQ25"/>
      <c r="EWR25"/>
      <c r="EWS25"/>
      <c r="EWT25"/>
      <c r="EWU25"/>
      <c r="EWV25"/>
      <c r="EWW25"/>
      <c r="EWX25"/>
      <c r="EWY25"/>
      <c r="EWZ25"/>
      <c r="EXA25"/>
      <c r="EXB25"/>
      <c r="EXC25"/>
      <c r="EXD25"/>
      <c r="EXE25"/>
      <c r="EXF25"/>
      <c r="EXG25"/>
      <c r="EXH25"/>
      <c r="EXI25"/>
      <c r="EXJ25"/>
      <c r="EXK25"/>
      <c r="EXL25"/>
      <c r="EXM25"/>
      <c r="EXN25"/>
      <c r="EXO25"/>
      <c r="EXP25"/>
      <c r="EXQ25"/>
      <c r="EXR25"/>
      <c r="EXS25"/>
      <c r="EXT25"/>
      <c r="EXU25"/>
      <c r="EXV25"/>
      <c r="EXW25"/>
      <c r="EXX25"/>
      <c r="EXY25"/>
      <c r="EXZ25"/>
      <c r="EYA25"/>
      <c r="EYB25"/>
      <c r="EYC25"/>
      <c r="EYD25"/>
      <c r="EYE25"/>
      <c r="EYF25"/>
      <c r="EYG25"/>
      <c r="EYH25"/>
      <c r="EYI25"/>
      <c r="EYJ25"/>
      <c r="EYK25"/>
      <c r="EYL25"/>
      <c r="EYM25"/>
      <c r="EYN25"/>
      <c r="EYO25"/>
      <c r="EYP25"/>
      <c r="EYQ25"/>
      <c r="EYR25"/>
      <c r="EYS25"/>
      <c r="EYT25"/>
      <c r="EYU25"/>
      <c r="EYV25"/>
      <c r="EYW25"/>
      <c r="EYX25"/>
      <c r="EYY25"/>
      <c r="EYZ25"/>
      <c r="EZA25"/>
      <c r="EZB25"/>
      <c r="EZC25"/>
      <c r="EZD25"/>
      <c r="EZE25"/>
      <c r="EZF25"/>
      <c r="EZG25"/>
      <c r="EZH25"/>
      <c r="EZI25"/>
      <c r="EZJ25"/>
      <c r="EZK25"/>
      <c r="EZL25"/>
      <c r="EZM25"/>
      <c r="EZN25"/>
      <c r="EZO25"/>
      <c r="EZP25"/>
      <c r="EZQ25"/>
      <c r="EZR25"/>
      <c r="EZS25"/>
      <c r="EZT25"/>
      <c r="EZU25"/>
      <c r="EZV25"/>
      <c r="EZW25"/>
      <c r="EZX25"/>
      <c r="EZY25"/>
      <c r="EZZ25"/>
      <c r="FAA25"/>
      <c r="FAB25"/>
      <c r="FAC25"/>
      <c r="FAD25"/>
      <c r="FAE25"/>
      <c r="FAF25"/>
      <c r="FAG25"/>
      <c r="FAH25"/>
      <c r="FAI25"/>
      <c r="FAJ25"/>
      <c r="FAK25"/>
      <c r="FAL25"/>
      <c r="FAM25"/>
      <c r="FAN25"/>
      <c r="FAO25"/>
      <c r="FAP25"/>
      <c r="FAQ25"/>
      <c r="FAR25"/>
      <c r="FAS25"/>
      <c r="FAT25"/>
      <c r="FAU25"/>
      <c r="FAV25"/>
      <c r="FAW25"/>
      <c r="FAX25"/>
      <c r="FAY25"/>
      <c r="FAZ25"/>
      <c r="FBA25"/>
      <c r="FBB25"/>
      <c r="FBC25"/>
      <c r="FBD25"/>
      <c r="FBE25"/>
      <c r="FBF25"/>
      <c r="FBG25"/>
      <c r="FBH25"/>
      <c r="FBI25"/>
      <c r="FBJ25"/>
      <c r="FBK25"/>
      <c r="FBL25"/>
      <c r="FBM25"/>
      <c r="FBN25"/>
      <c r="FBO25"/>
      <c r="FBP25"/>
      <c r="FBQ25"/>
      <c r="FBR25"/>
      <c r="FBS25"/>
      <c r="FBT25"/>
      <c r="FBU25"/>
      <c r="FBV25"/>
      <c r="FBW25"/>
      <c r="FBX25"/>
      <c r="FBY25"/>
      <c r="FBZ25"/>
      <c r="FCA25"/>
      <c r="FCB25"/>
      <c r="FCC25"/>
      <c r="FCD25"/>
      <c r="FCE25"/>
      <c r="FCF25"/>
      <c r="FCG25"/>
      <c r="FCH25"/>
      <c r="FCI25"/>
      <c r="FCJ25"/>
      <c r="FCK25"/>
      <c r="FCL25"/>
      <c r="FCM25"/>
      <c r="FCN25"/>
      <c r="FCO25"/>
      <c r="FCP25"/>
      <c r="FCQ25"/>
      <c r="FCR25"/>
      <c r="FCS25"/>
      <c r="FCT25"/>
      <c r="FCU25"/>
      <c r="FCV25"/>
      <c r="FCW25"/>
      <c r="FCX25"/>
      <c r="FCY25"/>
      <c r="FCZ25"/>
      <c r="FDA25"/>
      <c r="FDB25"/>
      <c r="FDC25"/>
      <c r="FDD25"/>
      <c r="FDE25"/>
      <c r="FDF25"/>
      <c r="FDG25"/>
      <c r="FDH25"/>
      <c r="FDI25"/>
      <c r="FDJ25"/>
      <c r="FDK25"/>
      <c r="FDL25"/>
      <c r="FDM25"/>
      <c r="FDN25"/>
      <c r="FDO25"/>
      <c r="FDP25"/>
      <c r="FDQ25"/>
      <c r="FDR25"/>
      <c r="FDS25"/>
      <c r="FDT25"/>
      <c r="FDU25"/>
      <c r="FDV25"/>
      <c r="FDW25"/>
      <c r="FDX25"/>
      <c r="FDY25"/>
      <c r="FDZ25"/>
      <c r="FEA25"/>
      <c r="FEB25"/>
      <c r="FEC25"/>
      <c r="FED25"/>
      <c r="FEE25"/>
      <c r="FEF25"/>
      <c r="FEG25"/>
      <c r="FEH25"/>
      <c r="FEI25"/>
      <c r="FEJ25"/>
      <c r="FEK25"/>
      <c r="FEL25"/>
      <c r="FEM25"/>
      <c r="FEN25"/>
      <c r="FEO25"/>
      <c r="FEP25"/>
      <c r="FEQ25"/>
      <c r="FER25"/>
      <c r="FES25"/>
      <c r="FET25"/>
      <c r="FEU25"/>
      <c r="FEV25"/>
      <c r="FEW25"/>
      <c r="FEX25"/>
      <c r="FEY25"/>
      <c r="FEZ25"/>
      <c r="FFA25"/>
      <c r="FFB25"/>
      <c r="FFC25"/>
      <c r="FFD25"/>
      <c r="FFE25"/>
      <c r="FFF25"/>
      <c r="FFG25"/>
      <c r="FFH25"/>
      <c r="FFI25"/>
      <c r="FFJ25"/>
      <c r="FFK25"/>
      <c r="FFL25"/>
      <c r="FFM25"/>
      <c r="FFN25"/>
      <c r="FFO25"/>
      <c r="FFP25"/>
      <c r="FFQ25"/>
      <c r="FFR25"/>
      <c r="FFS25"/>
      <c r="FFT25"/>
      <c r="FFU25"/>
      <c r="FFV25"/>
      <c r="FFW25"/>
      <c r="FFX25"/>
      <c r="FFY25"/>
      <c r="FFZ25"/>
      <c r="FGA25"/>
      <c r="FGB25"/>
      <c r="FGC25"/>
      <c r="FGD25"/>
      <c r="FGE25"/>
      <c r="FGF25"/>
      <c r="FGG25"/>
      <c r="FGH25"/>
      <c r="FGI25"/>
      <c r="FGJ25"/>
      <c r="FGK25"/>
      <c r="FGL25"/>
      <c r="FGM25"/>
      <c r="FGN25"/>
      <c r="FGO25"/>
      <c r="FGP25"/>
      <c r="FGQ25"/>
      <c r="FGR25"/>
      <c r="FGS25"/>
      <c r="FGT25"/>
      <c r="FGU25"/>
      <c r="FGV25"/>
      <c r="FGW25"/>
      <c r="FGX25"/>
      <c r="FGY25"/>
      <c r="FGZ25"/>
      <c r="FHA25"/>
      <c r="FHB25"/>
      <c r="FHC25"/>
      <c r="FHD25"/>
      <c r="FHE25"/>
      <c r="FHF25"/>
      <c r="FHG25"/>
      <c r="FHH25"/>
      <c r="FHI25"/>
      <c r="FHJ25"/>
      <c r="FHK25"/>
      <c r="FHL25"/>
      <c r="FHM25"/>
      <c r="FHN25"/>
      <c r="FHO25"/>
      <c r="FHP25"/>
      <c r="FHQ25"/>
      <c r="FHR25"/>
      <c r="FHS25"/>
      <c r="FHT25"/>
      <c r="FHU25"/>
      <c r="FHV25"/>
      <c r="FHW25"/>
      <c r="FHX25"/>
      <c r="FHY25"/>
      <c r="FHZ25"/>
      <c r="FIA25"/>
      <c r="FIB25"/>
      <c r="FIC25"/>
      <c r="FID25"/>
      <c r="FIE25"/>
      <c r="FIF25"/>
      <c r="FIG25"/>
      <c r="FIH25"/>
      <c r="FII25"/>
      <c r="FIJ25"/>
      <c r="FIK25"/>
      <c r="FIL25"/>
      <c r="FIM25"/>
      <c r="FIN25"/>
      <c r="FIO25"/>
      <c r="FIP25"/>
      <c r="FIQ25"/>
      <c r="FIR25"/>
      <c r="FIS25"/>
      <c r="FIT25"/>
      <c r="FIU25"/>
      <c r="FIV25"/>
      <c r="FIW25"/>
      <c r="FIX25"/>
      <c r="FIY25"/>
      <c r="FIZ25"/>
      <c r="FJA25"/>
      <c r="FJB25"/>
      <c r="FJC25"/>
      <c r="FJD25"/>
      <c r="FJE25"/>
      <c r="FJF25"/>
      <c r="FJG25"/>
      <c r="FJH25"/>
      <c r="FJI25"/>
      <c r="FJJ25"/>
      <c r="FJK25"/>
      <c r="FJL25"/>
      <c r="FJM25"/>
      <c r="FJN25"/>
      <c r="FJO25"/>
      <c r="FJP25"/>
      <c r="FJQ25"/>
      <c r="FJR25"/>
      <c r="FJS25"/>
      <c r="FJT25"/>
      <c r="FJU25"/>
      <c r="FJV25"/>
      <c r="FJW25"/>
      <c r="FJX25"/>
      <c r="FJY25"/>
      <c r="FJZ25"/>
      <c r="FKA25"/>
      <c r="FKB25"/>
      <c r="FKC25"/>
      <c r="FKD25"/>
      <c r="FKE25"/>
      <c r="FKF25"/>
      <c r="FKG25"/>
      <c r="FKH25"/>
      <c r="FKI25"/>
      <c r="FKJ25"/>
      <c r="FKK25"/>
      <c r="FKL25"/>
      <c r="FKM25"/>
      <c r="FKN25"/>
      <c r="FKO25"/>
      <c r="FKP25"/>
      <c r="FKQ25"/>
      <c r="FKR25"/>
      <c r="FKS25"/>
      <c r="FKT25"/>
      <c r="FKU25"/>
      <c r="FKV25"/>
      <c r="FKW25"/>
      <c r="FKX25"/>
      <c r="FKY25"/>
      <c r="FKZ25"/>
      <c r="FLA25"/>
      <c r="FLB25"/>
      <c r="FLC25"/>
      <c r="FLD25"/>
      <c r="FLE25"/>
      <c r="FLF25"/>
      <c r="FLG25"/>
      <c r="FLH25"/>
      <c r="FLI25"/>
      <c r="FLJ25"/>
      <c r="FLK25"/>
      <c r="FLL25"/>
      <c r="FLM25"/>
      <c r="FLN25"/>
      <c r="FLO25"/>
      <c r="FLP25"/>
      <c r="FLQ25"/>
      <c r="FLR25"/>
      <c r="FLS25"/>
      <c r="FLT25"/>
      <c r="FLU25"/>
      <c r="FLV25"/>
      <c r="FLW25"/>
      <c r="FLX25"/>
      <c r="FLY25"/>
      <c r="FLZ25"/>
      <c r="FMA25"/>
      <c r="FMB25"/>
      <c r="FMC25"/>
      <c r="FMD25"/>
      <c r="FME25"/>
      <c r="FMF25"/>
      <c r="FMG25"/>
      <c r="FMH25"/>
      <c r="FMI25"/>
      <c r="FMJ25"/>
      <c r="FMK25"/>
      <c r="FML25"/>
      <c r="FMM25"/>
      <c r="FMN25"/>
      <c r="FMO25"/>
      <c r="FMP25"/>
      <c r="FMQ25"/>
      <c r="FMR25"/>
      <c r="FMS25"/>
      <c r="FMT25"/>
      <c r="FMU25"/>
      <c r="FMV25"/>
      <c r="FMW25"/>
      <c r="FMX25"/>
      <c r="FMY25"/>
      <c r="FMZ25"/>
      <c r="FNA25"/>
      <c r="FNB25"/>
      <c r="FNC25"/>
      <c r="FND25"/>
      <c r="FNE25"/>
      <c r="FNF25"/>
      <c r="FNG25"/>
      <c r="FNH25"/>
      <c r="FNI25"/>
      <c r="FNJ25"/>
      <c r="FNK25"/>
      <c r="FNL25"/>
      <c r="FNM25"/>
      <c r="FNN25"/>
      <c r="FNO25"/>
      <c r="FNP25"/>
      <c r="FNQ25"/>
      <c r="FNR25"/>
      <c r="FNS25"/>
      <c r="FNT25"/>
      <c r="FNU25"/>
      <c r="FNV25"/>
      <c r="FNW25"/>
      <c r="FNX25"/>
      <c r="FNY25"/>
      <c r="FNZ25"/>
      <c r="FOA25"/>
      <c r="FOB25"/>
      <c r="FOC25"/>
      <c r="FOD25"/>
      <c r="FOE25"/>
      <c r="FOF25"/>
      <c r="FOG25"/>
      <c r="FOH25"/>
      <c r="FOI25"/>
      <c r="FOJ25"/>
      <c r="FOK25"/>
      <c r="FOL25"/>
      <c r="FOM25"/>
      <c r="FON25"/>
      <c r="FOO25"/>
      <c r="FOP25"/>
      <c r="FOQ25"/>
      <c r="FOR25"/>
      <c r="FOS25"/>
      <c r="FOT25"/>
      <c r="FOU25"/>
      <c r="FOV25"/>
      <c r="FOW25"/>
      <c r="FOX25"/>
      <c r="FOY25"/>
      <c r="FOZ25"/>
      <c r="FPA25"/>
      <c r="FPB25"/>
      <c r="FPC25"/>
      <c r="FPD25"/>
      <c r="FPE25"/>
      <c r="FPF25"/>
      <c r="FPG25"/>
      <c r="FPH25"/>
      <c r="FPI25"/>
      <c r="FPJ25"/>
      <c r="FPK25"/>
      <c r="FPL25"/>
      <c r="FPM25"/>
      <c r="FPN25"/>
      <c r="FPO25"/>
      <c r="FPP25"/>
      <c r="FPQ25"/>
      <c r="FPR25"/>
      <c r="FPS25"/>
      <c r="FPT25"/>
      <c r="FPU25"/>
      <c r="FPV25"/>
      <c r="FPW25"/>
      <c r="FPX25"/>
      <c r="FPY25"/>
      <c r="FPZ25"/>
      <c r="FQA25"/>
      <c r="FQB25"/>
      <c r="FQC25"/>
      <c r="FQD25"/>
      <c r="FQE25"/>
      <c r="FQF25"/>
      <c r="FQG25"/>
      <c r="FQH25"/>
      <c r="FQI25"/>
      <c r="FQJ25"/>
      <c r="FQK25"/>
      <c r="FQL25"/>
      <c r="FQM25"/>
      <c r="FQN25"/>
      <c r="FQO25"/>
      <c r="FQP25"/>
      <c r="FQQ25"/>
      <c r="FQR25"/>
      <c r="FQS25"/>
      <c r="FQT25"/>
      <c r="FQU25"/>
      <c r="FQV25"/>
      <c r="FQW25"/>
      <c r="FQX25"/>
      <c r="FQY25"/>
      <c r="FQZ25"/>
      <c r="FRA25"/>
      <c r="FRB25"/>
      <c r="FRC25"/>
      <c r="FRD25"/>
      <c r="FRE25"/>
      <c r="FRF25"/>
      <c r="FRG25"/>
      <c r="FRH25"/>
      <c r="FRI25"/>
      <c r="FRJ25"/>
      <c r="FRK25"/>
      <c r="FRL25"/>
      <c r="FRM25"/>
      <c r="FRN25"/>
      <c r="FRO25"/>
      <c r="FRP25"/>
      <c r="FRQ25"/>
      <c r="FRR25"/>
      <c r="FRS25"/>
      <c r="FRT25"/>
      <c r="FRU25"/>
      <c r="FRV25"/>
      <c r="FRW25"/>
      <c r="FRX25"/>
      <c r="FRY25"/>
      <c r="FRZ25"/>
      <c r="FSA25"/>
      <c r="FSB25"/>
      <c r="FSC25"/>
      <c r="FSD25"/>
      <c r="FSE25"/>
      <c r="FSF25"/>
      <c r="FSG25"/>
      <c r="FSH25"/>
      <c r="FSI25"/>
      <c r="FSJ25"/>
      <c r="FSK25"/>
      <c r="FSL25"/>
      <c r="FSM25"/>
      <c r="FSN25"/>
      <c r="FSO25"/>
      <c r="FSP25"/>
      <c r="FSQ25"/>
      <c r="FSR25"/>
      <c r="FSS25"/>
      <c r="FST25"/>
      <c r="FSU25"/>
      <c r="FSV25"/>
      <c r="FSW25"/>
      <c r="FSX25"/>
      <c r="FSY25"/>
      <c r="FSZ25"/>
      <c r="FTA25"/>
      <c r="FTB25"/>
      <c r="FTC25"/>
      <c r="FTD25"/>
      <c r="FTE25"/>
      <c r="FTF25"/>
      <c r="FTG25"/>
      <c r="FTH25"/>
      <c r="FTI25"/>
      <c r="FTJ25"/>
      <c r="FTK25"/>
      <c r="FTL25"/>
      <c r="FTM25"/>
      <c r="FTN25"/>
      <c r="FTO25"/>
      <c r="FTP25"/>
      <c r="FTQ25"/>
      <c r="FTR25"/>
      <c r="FTS25"/>
      <c r="FTT25"/>
      <c r="FTU25"/>
      <c r="FTV25"/>
      <c r="FTW25"/>
      <c r="FTX25"/>
      <c r="FTY25"/>
      <c r="FTZ25"/>
      <c r="FUA25"/>
      <c r="FUB25"/>
      <c r="FUC25"/>
      <c r="FUD25"/>
      <c r="FUE25"/>
      <c r="FUF25"/>
      <c r="FUG25"/>
      <c r="FUH25"/>
      <c r="FUI25"/>
      <c r="FUJ25"/>
      <c r="FUK25"/>
      <c r="FUL25"/>
      <c r="FUM25"/>
      <c r="FUN25"/>
      <c r="FUO25"/>
      <c r="FUP25"/>
      <c r="FUQ25"/>
      <c r="FUR25"/>
      <c r="FUS25"/>
      <c r="FUT25"/>
      <c r="FUU25"/>
      <c r="FUV25"/>
      <c r="FUW25"/>
      <c r="FUX25"/>
      <c r="FUY25"/>
      <c r="FUZ25"/>
      <c r="FVA25"/>
      <c r="FVB25"/>
      <c r="FVC25"/>
      <c r="FVD25"/>
      <c r="FVE25"/>
      <c r="FVF25"/>
      <c r="FVG25"/>
      <c r="FVH25"/>
      <c r="FVI25"/>
      <c r="FVJ25"/>
      <c r="FVK25"/>
      <c r="FVL25"/>
      <c r="FVM25"/>
      <c r="FVN25"/>
      <c r="FVO25"/>
      <c r="FVP25"/>
      <c r="FVQ25"/>
      <c r="FVR25"/>
      <c r="FVS25"/>
      <c r="FVT25"/>
      <c r="FVU25"/>
      <c r="FVV25"/>
      <c r="FVW25"/>
      <c r="FVX25"/>
      <c r="FVY25"/>
      <c r="FVZ25"/>
      <c r="FWA25"/>
      <c r="FWB25"/>
      <c r="FWC25"/>
      <c r="FWD25"/>
      <c r="FWE25"/>
      <c r="FWF25"/>
      <c r="FWG25"/>
      <c r="FWH25"/>
      <c r="FWI25"/>
      <c r="FWJ25"/>
      <c r="FWK25"/>
      <c r="FWL25"/>
      <c r="FWM25"/>
      <c r="FWN25"/>
      <c r="FWO25"/>
      <c r="FWP25"/>
      <c r="FWQ25"/>
      <c r="FWR25"/>
      <c r="FWS25"/>
      <c r="FWT25"/>
      <c r="FWU25"/>
      <c r="FWV25"/>
      <c r="FWW25"/>
      <c r="FWX25"/>
      <c r="FWY25"/>
      <c r="FWZ25"/>
      <c r="FXA25"/>
      <c r="FXB25"/>
      <c r="FXC25"/>
      <c r="FXD25"/>
      <c r="FXE25"/>
      <c r="FXF25"/>
      <c r="FXG25"/>
      <c r="FXH25"/>
      <c r="FXI25"/>
      <c r="FXJ25"/>
      <c r="FXK25"/>
      <c r="FXL25"/>
      <c r="FXM25"/>
      <c r="FXN25"/>
      <c r="FXO25"/>
      <c r="FXP25"/>
      <c r="FXQ25"/>
      <c r="FXR25"/>
      <c r="FXS25"/>
      <c r="FXT25"/>
      <c r="FXU25"/>
      <c r="FXV25"/>
      <c r="FXW25"/>
      <c r="FXX25"/>
      <c r="FXY25"/>
      <c r="FXZ25"/>
      <c r="FYA25"/>
      <c r="FYB25"/>
      <c r="FYC25"/>
      <c r="FYD25"/>
      <c r="FYE25"/>
      <c r="FYF25"/>
      <c r="FYG25"/>
      <c r="FYH25"/>
      <c r="FYI25"/>
      <c r="FYJ25"/>
      <c r="FYK25"/>
      <c r="FYL25"/>
      <c r="FYM25"/>
      <c r="FYN25"/>
      <c r="FYO25"/>
      <c r="FYP25"/>
      <c r="FYQ25"/>
      <c r="FYR25"/>
      <c r="FYS25"/>
      <c r="FYT25"/>
      <c r="FYU25"/>
      <c r="FYV25"/>
      <c r="FYW25"/>
      <c r="FYX25"/>
      <c r="FYY25"/>
      <c r="FYZ25"/>
      <c r="FZA25"/>
      <c r="FZB25"/>
      <c r="FZC25"/>
      <c r="FZD25"/>
      <c r="FZE25"/>
      <c r="FZF25"/>
      <c r="FZG25"/>
      <c r="FZH25"/>
      <c r="FZI25"/>
      <c r="FZJ25"/>
      <c r="FZK25"/>
      <c r="FZL25"/>
      <c r="FZM25"/>
      <c r="FZN25"/>
      <c r="FZO25"/>
      <c r="FZP25"/>
      <c r="FZQ25"/>
      <c r="FZR25"/>
      <c r="FZS25"/>
      <c r="FZT25"/>
      <c r="FZU25"/>
      <c r="FZV25"/>
      <c r="FZW25"/>
      <c r="FZX25"/>
      <c r="FZY25"/>
      <c r="FZZ25"/>
      <c r="GAA25"/>
      <c r="GAB25"/>
      <c r="GAC25"/>
      <c r="GAD25"/>
      <c r="GAE25"/>
      <c r="GAF25"/>
      <c r="GAG25"/>
      <c r="GAH25"/>
      <c r="GAI25"/>
      <c r="GAJ25"/>
      <c r="GAK25"/>
      <c r="GAL25"/>
      <c r="GAM25"/>
      <c r="GAN25"/>
      <c r="GAO25"/>
      <c r="GAP25"/>
      <c r="GAQ25"/>
      <c r="GAR25"/>
      <c r="GAS25"/>
      <c r="GAT25"/>
      <c r="GAU25"/>
      <c r="GAV25"/>
      <c r="GAW25"/>
      <c r="GAX25"/>
      <c r="GAY25"/>
      <c r="GAZ25"/>
      <c r="GBA25"/>
      <c r="GBB25"/>
      <c r="GBC25"/>
      <c r="GBD25"/>
      <c r="GBE25"/>
      <c r="GBF25"/>
      <c r="GBG25"/>
      <c r="GBH25"/>
      <c r="GBI25"/>
      <c r="GBJ25"/>
      <c r="GBK25"/>
      <c r="GBL25"/>
      <c r="GBM25"/>
      <c r="GBN25"/>
      <c r="GBO25"/>
      <c r="GBP25"/>
      <c r="GBQ25"/>
      <c r="GBR25"/>
      <c r="GBS25"/>
      <c r="GBT25"/>
      <c r="GBU25"/>
      <c r="GBV25"/>
      <c r="GBW25"/>
      <c r="GBX25"/>
      <c r="GBY25"/>
      <c r="GBZ25"/>
      <c r="GCA25"/>
      <c r="GCB25"/>
      <c r="GCC25"/>
      <c r="GCD25"/>
      <c r="GCE25"/>
      <c r="GCF25"/>
      <c r="GCG25"/>
      <c r="GCH25"/>
      <c r="GCI25"/>
      <c r="GCJ25"/>
      <c r="GCK25"/>
      <c r="GCL25"/>
      <c r="GCM25"/>
      <c r="GCN25"/>
      <c r="GCO25"/>
      <c r="GCP25"/>
      <c r="GCQ25"/>
      <c r="GCR25"/>
      <c r="GCS25"/>
      <c r="GCT25"/>
      <c r="GCU25"/>
      <c r="GCV25"/>
      <c r="GCW25"/>
      <c r="GCX25"/>
      <c r="GCY25"/>
      <c r="GCZ25"/>
      <c r="GDA25"/>
      <c r="GDB25"/>
      <c r="GDC25"/>
      <c r="GDD25"/>
      <c r="GDE25"/>
      <c r="GDF25"/>
      <c r="GDG25"/>
      <c r="GDH25"/>
      <c r="GDI25"/>
      <c r="GDJ25"/>
      <c r="GDK25"/>
      <c r="GDL25"/>
      <c r="GDM25"/>
      <c r="GDN25"/>
      <c r="GDO25"/>
      <c r="GDP25"/>
      <c r="GDQ25"/>
      <c r="GDR25"/>
      <c r="GDS25"/>
      <c r="GDT25"/>
      <c r="GDU25"/>
      <c r="GDV25"/>
      <c r="GDW25"/>
      <c r="GDX25"/>
      <c r="GDY25"/>
      <c r="GDZ25"/>
      <c r="GEA25"/>
      <c r="GEB25"/>
      <c r="GEC25"/>
      <c r="GED25"/>
      <c r="GEE25"/>
      <c r="GEF25"/>
      <c r="GEG25"/>
      <c r="GEH25"/>
      <c r="GEI25"/>
      <c r="GEJ25"/>
      <c r="GEK25"/>
      <c r="GEL25"/>
      <c r="GEM25"/>
      <c r="GEN25"/>
      <c r="GEO25"/>
      <c r="GEP25"/>
      <c r="GEQ25"/>
      <c r="GER25"/>
      <c r="GES25"/>
      <c r="GET25"/>
      <c r="GEU25"/>
      <c r="GEV25"/>
      <c r="GEW25"/>
      <c r="GEX25"/>
      <c r="GEY25"/>
      <c r="GEZ25"/>
      <c r="GFA25"/>
      <c r="GFB25"/>
      <c r="GFC25"/>
      <c r="GFD25"/>
      <c r="GFE25"/>
      <c r="GFF25"/>
      <c r="GFG25"/>
      <c r="GFH25"/>
      <c r="GFI25"/>
      <c r="GFJ25"/>
      <c r="GFK25"/>
      <c r="GFL25"/>
      <c r="GFM25"/>
      <c r="GFN25"/>
      <c r="GFO25"/>
      <c r="GFP25"/>
      <c r="GFQ25"/>
      <c r="GFR25"/>
      <c r="GFS25"/>
      <c r="GFT25"/>
      <c r="GFU25"/>
      <c r="GFV25"/>
      <c r="GFW25"/>
      <c r="GFX25"/>
      <c r="GFY25"/>
      <c r="GFZ25"/>
      <c r="GGA25"/>
      <c r="GGB25"/>
      <c r="GGC25"/>
      <c r="GGD25"/>
      <c r="GGE25"/>
      <c r="GGF25"/>
      <c r="GGG25"/>
      <c r="GGH25"/>
      <c r="GGI25"/>
      <c r="GGJ25"/>
      <c r="GGK25"/>
      <c r="GGL25"/>
      <c r="GGM25"/>
      <c r="GGN25"/>
      <c r="GGO25"/>
      <c r="GGP25"/>
      <c r="GGQ25"/>
      <c r="GGR25"/>
      <c r="GGS25"/>
      <c r="GGT25"/>
      <c r="GGU25"/>
      <c r="GGV25"/>
      <c r="GGW25"/>
      <c r="GGX25"/>
      <c r="GGY25"/>
      <c r="GGZ25"/>
      <c r="GHA25"/>
      <c r="GHB25"/>
      <c r="GHC25"/>
      <c r="GHD25"/>
      <c r="GHE25"/>
      <c r="GHF25"/>
      <c r="GHG25"/>
      <c r="GHH25"/>
      <c r="GHI25"/>
      <c r="GHJ25"/>
      <c r="GHK25"/>
      <c r="GHL25"/>
      <c r="GHM25"/>
      <c r="GHN25"/>
      <c r="GHO25"/>
      <c r="GHP25"/>
      <c r="GHQ25"/>
      <c r="GHR25"/>
      <c r="GHS25"/>
      <c r="GHT25"/>
      <c r="GHU25"/>
      <c r="GHV25"/>
      <c r="GHW25"/>
      <c r="GHX25"/>
      <c r="GHY25"/>
      <c r="GHZ25"/>
      <c r="GIA25"/>
      <c r="GIB25"/>
      <c r="GIC25"/>
      <c r="GID25"/>
      <c r="GIE25"/>
      <c r="GIF25"/>
      <c r="GIG25"/>
      <c r="GIH25"/>
      <c r="GII25"/>
      <c r="GIJ25"/>
      <c r="GIK25"/>
      <c r="GIL25"/>
      <c r="GIM25"/>
      <c r="GIN25"/>
      <c r="GIO25"/>
      <c r="GIP25"/>
      <c r="GIQ25"/>
      <c r="GIR25"/>
      <c r="GIS25"/>
      <c r="GIT25"/>
      <c r="GIU25"/>
      <c r="GIV25"/>
      <c r="GIW25"/>
      <c r="GIX25"/>
      <c r="GIY25"/>
      <c r="GIZ25"/>
      <c r="GJA25"/>
      <c r="GJB25"/>
      <c r="GJC25"/>
      <c r="GJD25"/>
      <c r="GJE25"/>
      <c r="GJF25"/>
      <c r="GJG25"/>
      <c r="GJH25"/>
      <c r="GJI25"/>
      <c r="GJJ25"/>
      <c r="GJK25"/>
      <c r="GJL25"/>
      <c r="GJM25"/>
      <c r="GJN25"/>
      <c r="GJO25"/>
      <c r="GJP25"/>
      <c r="GJQ25"/>
      <c r="GJR25"/>
      <c r="GJS25"/>
      <c r="GJT25"/>
      <c r="GJU25"/>
      <c r="GJV25"/>
      <c r="GJW25"/>
      <c r="GJX25"/>
      <c r="GJY25"/>
      <c r="GJZ25"/>
      <c r="GKA25"/>
      <c r="GKB25"/>
      <c r="GKC25"/>
      <c r="GKD25"/>
      <c r="GKE25"/>
      <c r="GKF25"/>
      <c r="GKG25"/>
      <c r="GKH25"/>
      <c r="GKI25"/>
      <c r="GKJ25"/>
      <c r="GKK25"/>
      <c r="GKL25"/>
      <c r="GKM25"/>
      <c r="GKN25"/>
      <c r="GKO25"/>
      <c r="GKP25"/>
      <c r="GKQ25"/>
      <c r="GKR25"/>
      <c r="GKS25"/>
      <c r="GKT25"/>
      <c r="GKU25"/>
      <c r="GKV25"/>
      <c r="GKW25"/>
      <c r="GKX25"/>
      <c r="GKY25"/>
      <c r="GKZ25"/>
      <c r="GLA25"/>
      <c r="GLB25"/>
      <c r="GLC25"/>
      <c r="GLD25"/>
      <c r="GLE25"/>
      <c r="GLF25"/>
      <c r="GLG25"/>
      <c r="GLH25"/>
      <c r="GLI25"/>
      <c r="GLJ25"/>
      <c r="GLK25"/>
      <c r="GLL25"/>
      <c r="GLM25"/>
      <c r="GLN25"/>
      <c r="GLO25"/>
      <c r="GLP25"/>
      <c r="GLQ25"/>
      <c r="GLR25"/>
      <c r="GLS25"/>
      <c r="GLT25"/>
      <c r="GLU25"/>
      <c r="GLV25"/>
      <c r="GLW25"/>
      <c r="GLX25"/>
      <c r="GLY25"/>
      <c r="GLZ25"/>
      <c r="GMA25"/>
      <c r="GMB25"/>
      <c r="GMC25"/>
      <c r="GMD25"/>
      <c r="GME25"/>
      <c r="GMF25"/>
      <c r="GMG25"/>
      <c r="GMH25"/>
      <c r="GMI25"/>
      <c r="GMJ25"/>
      <c r="GMK25"/>
      <c r="GML25"/>
      <c r="GMM25"/>
      <c r="GMN25"/>
      <c r="GMO25"/>
      <c r="GMP25"/>
      <c r="GMQ25"/>
      <c r="GMR25"/>
      <c r="GMS25"/>
      <c r="GMT25"/>
      <c r="GMU25"/>
      <c r="GMV25"/>
      <c r="GMW25"/>
      <c r="GMX25"/>
      <c r="GMY25"/>
      <c r="GMZ25"/>
      <c r="GNA25"/>
      <c r="GNB25"/>
      <c r="GNC25"/>
      <c r="GND25"/>
      <c r="GNE25"/>
      <c r="GNF25"/>
      <c r="GNG25"/>
      <c r="GNH25"/>
      <c r="GNI25"/>
      <c r="GNJ25"/>
      <c r="GNK25"/>
      <c r="GNL25"/>
      <c r="GNM25"/>
      <c r="GNN25"/>
      <c r="GNO25"/>
      <c r="GNP25"/>
      <c r="GNQ25"/>
      <c r="GNR25"/>
      <c r="GNS25"/>
      <c r="GNT25"/>
      <c r="GNU25"/>
      <c r="GNV25"/>
      <c r="GNW25"/>
      <c r="GNX25"/>
      <c r="GNY25"/>
      <c r="GNZ25"/>
      <c r="GOA25"/>
      <c r="GOB25"/>
      <c r="GOC25"/>
      <c r="GOD25"/>
      <c r="GOE25"/>
      <c r="GOF25"/>
      <c r="GOG25"/>
      <c r="GOH25"/>
      <c r="GOI25"/>
      <c r="GOJ25"/>
      <c r="GOK25"/>
      <c r="GOL25"/>
      <c r="GOM25"/>
      <c r="GON25"/>
      <c r="GOO25"/>
      <c r="GOP25"/>
      <c r="GOQ25"/>
      <c r="GOR25"/>
      <c r="GOS25"/>
      <c r="GOT25"/>
      <c r="GOU25"/>
      <c r="GOV25"/>
      <c r="GOW25"/>
      <c r="GOX25"/>
      <c r="GOY25"/>
      <c r="GOZ25"/>
      <c r="GPA25"/>
      <c r="GPB25"/>
      <c r="GPC25"/>
      <c r="GPD25"/>
      <c r="GPE25"/>
      <c r="GPF25"/>
      <c r="GPG25"/>
      <c r="GPH25"/>
      <c r="GPI25"/>
      <c r="GPJ25"/>
      <c r="GPK25"/>
      <c r="GPL25"/>
      <c r="GPM25"/>
      <c r="GPN25"/>
      <c r="GPO25"/>
      <c r="GPP25"/>
      <c r="GPQ25"/>
      <c r="GPR25"/>
      <c r="GPS25"/>
      <c r="GPT25"/>
      <c r="GPU25"/>
      <c r="GPV25"/>
      <c r="GPW25"/>
      <c r="GPX25"/>
      <c r="GPY25"/>
      <c r="GPZ25"/>
      <c r="GQA25"/>
      <c r="GQB25"/>
      <c r="GQC25"/>
      <c r="GQD25"/>
      <c r="GQE25"/>
      <c r="GQF25"/>
      <c r="GQG25"/>
      <c r="GQH25"/>
      <c r="GQI25"/>
      <c r="GQJ25"/>
      <c r="GQK25"/>
      <c r="GQL25"/>
      <c r="GQM25"/>
      <c r="GQN25"/>
      <c r="GQO25"/>
      <c r="GQP25"/>
      <c r="GQQ25"/>
      <c r="GQR25"/>
      <c r="GQS25"/>
      <c r="GQT25"/>
      <c r="GQU25"/>
      <c r="GQV25"/>
      <c r="GQW25"/>
      <c r="GQX25"/>
      <c r="GQY25"/>
      <c r="GQZ25"/>
      <c r="GRA25"/>
      <c r="GRB25"/>
      <c r="GRC25"/>
      <c r="GRD25"/>
      <c r="GRE25"/>
      <c r="GRF25"/>
      <c r="GRG25"/>
      <c r="GRH25"/>
      <c r="GRI25"/>
      <c r="GRJ25"/>
      <c r="GRK25"/>
      <c r="GRL25"/>
      <c r="GRM25"/>
      <c r="GRN25"/>
      <c r="GRO25"/>
      <c r="GRP25"/>
      <c r="GRQ25"/>
      <c r="GRR25"/>
      <c r="GRS25"/>
      <c r="GRT25"/>
      <c r="GRU25"/>
      <c r="GRV25"/>
      <c r="GRW25"/>
      <c r="GRX25"/>
      <c r="GRY25"/>
      <c r="GRZ25"/>
      <c r="GSA25"/>
      <c r="GSB25"/>
      <c r="GSC25"/>
      <c r="GSD25"/>
      <c r="GSE25"/>
      <c r="GSF25"/>
      <c r="GSG25"/>
      <c r="GSH25"/>
      <c r="GSI25"/>
      <c r="GSJ25"/>
      <c r="GSK25"/>
      <c r="GSL25"/>
      <c r="GSM25"/>
      <c r="GSN25"/>
      <c r="GSO25"/>
      <c r="GSP25"/>
      <c r="GSQ25"/>
      <c r="GSR25"/>
      <c r="GSS25"/>
      <c r="GST25"/>
      <c r="GSU25"/>
      <c r="GSV25"/>
      <c r="GSW25"/>
      <c r="GSX25"/>
      <c r="GSY25"/>
      <c r="GSZ25"/>
      <c r="GTA25"/>
      <c r="GTB25"/>
      <c r="GTC25"/>
      <c r="GTD25"/>
      <c r="GTE25"/>
      <c r="GTF25"/>
      <c r="GTG25"/>
      <c r="GTH25"/>
      <c r="GTI25"/>
      <c r="GTJ25"/>
      <c r="GTK25"/>
      <c r="GTL25"/>
      <c r="GTM25"/>
      <c r="GTN25"/>
      <c r="GTO25"/>
      <c r="GTP25"/>
      <c r="GTQ25"/>
      <c r="GTR25"/>
      <c r="GTS25"/>
      <c r="GTT25"/>
      <c r="GTU25"/>
      <c r="GTV25"/>
      <c r="GTW25"/>
      <c r="GTX25"/>
      <c r="GTY25"/>
      <c r="GTZ25"/>
      <c r="GUA25"/>
      <c r="GUB25"/>
      <c r="GUC25"/>
      <c r="GUD25"/>
      <c r="GUE25"/>
      <c r="GUF25"/>
      <c r="GUG25"/>
      <c r="GUH25"/>
      <c r="GUI25"/>
      <c r="GUJ25"/>
      <c r="GUK25"/>
      <c r="GUL25"/>
      <c r="GUM25"/>
      <c r="GUN25"/>
      <c r="GUO25"/>
      <c r="GUP25"/>
      <c r="GUQ25"/>
      <c r="GUR25"/>
      <c r="GUS25"/>
      <c r="GUT25"/>
      <c r="GUU25"/>
      <c r="GUV25"/>
      <c r="GUW25"/>
      <c r="GUX25"/>
      <c r="GUY25"/>
      <c r="GUZ25"/>
      <c r="GVA25"/>
      <c r="GVB25"/>
      <c r="GVC25"/>
      <c r="GVD25"/>
      <c r="GVE25"/>
      <c r="GVF25"/>
      <c r="GVG25"/>
      <c r="GVH25"/>
      <c r="GVI25"/>
      <c r="GVJ25"/>
      <c r="GVK25"/>
      <c r="GVL25"/>
      <c r="GVM25"/>
      <c r="GVN25"/>
      <c r="GVO25"/>
      <c r="GVP25"/>
      <c r="GVQ25"/>
      <c r="GVR25"/>
      <c r="GVS25"/>
      <c r="GVT25"/>
      <c r="GVU25"/>
      <c r="GVV25"/>
      <c r="GVW25"/>
      <c r="GVX25"/>
      <c r="GVY25"/>
      <c r="GVZ25"/>
      <c r="GWA25"/>
      <c r="GWB25"/>
      <c r="GWC25"/>
      <c r="GWD25"/>
      <c r="GWE25"/>
      <c r="GWF25"/>
      <c r="GWG25"/>
      <c r="GWH25"/>
      <c r="GWI25"/>
      <c r="GWJ25"/>
      <c r="GWK25"/>
      <c r="GWL25"/>
      <c r="GWM25"/>
      <c r="GWN25"/>
      <c r="GWO25"/>
      <c r="GWP25"/>
      <c r="GWQ25"/>
      <c r="GWR25"/>
      <c r="GWS25"/>
      <c r="GWT25"/>
      <c r="GWU25"/>
      <c r="GWV25"/>
      <c r="GWW25"/>
      <c r="GWX25"/>
      <c r="GWY25"/>
      <c r="GWZ25"/>
      <c r="GXA25"/>
      <c r="GXB25"/>
      <c r="GXC25"/>
      <c r="GXD25"/>
      <c r="GXE25"/>
      <c r="GXF25"/>
      <c r="GXG25"/>
      <c r="GXH25"/>
      <c r="GXI25"/>
      <c r="GXJ25"/>
      <c r="GXK25"/>
      <c r="GXL25"/>
      <c r="GXM25"/>
      <c r="GXN25"/>
      <c r="GXO25"/>
      <c r="GXP25"/>
      <c r="GXQ25"/>
      <c r="GXR25"/>
      <c r="GXS25"/>
      <c r="GXT25"/>
      <c r="GXU25"/>
      <c r="GXV25"/>
      <c r="GXW25"/>
      <c r="GXX25"/>
      <c r="GXY25"/>
      <c r="GXZ25"/>
      <c r="GYA25"/>
      <c r="GYB25"/>
      <c r="GYC25"/>
      <c r="GYD25"/>
      <c r="GYE25"/>
      <c r="GYF25"/>
      <c r="GYG25"/>
      <c r="GYH25"/>
      <c r="GYI25"/>
      <c r="GYJ25"/>
      <c r="GYK25"/>
      <c r="GYL25"/>
      <c r="GYM25"/>
      <c r="GYN25"/>
      <c r="GYO25"/>
      <c r="GYP25"/>
      <c r="GYQ25"/>
      <c r="GYR25"/>
      <c r="GYS25"/>
      <c r="GYT25"/>
      <c r="GYU25"/>
      <c r="GYV25"/>
      <c r="GYW25"/>
      <c r="GYX25"/>
      <c r="GYY25"/>
      <c r="GYZ25"/>
      <c r="GZA25"/>
      <c r="GZB25"/>
      <c r="GZC25"/>
      <c r="GZD25"/>
      <c r="GZE25"/>
      <c r="GZF25"/>
      <c r="GZG25"/>
      <c r="GZH25"/>
      <c r="GZI25"/>
      <c r="GZJ25"/>
      <c r="GZK25"/>
      <c r="GZL25"/>
      <c r="GZM25"/>
      <c r="GZN25"/>
      <c r="GZO25"/>
      <c r="GZP25"/>
      <c r="GZQ25"/>
      <c r="GZR25"/>
      <c r="GZS25"/>
      <c r="GZT25"/>
      <c r="GZU25"/>
      <c r="GZV25"/>
      <c r="GZW25"/>
      <c r="GZX25"/>
      <c r="GZY25"/>
      <c r="GZZ25"/>
      <c r="HAA25"/>
      <c r="HAB25"/>
      <c r="HAC25"/>
      <c r="HAD25"/>
      <c r="HAE25"/>
      <c r="HAF25"/>
      <c r="HAG25"/>
      <c r="HAH25"/>
      <c r="HAI25"/>
      <c r="HAJ25"/>
      <c r="HAK25"/>
      <c r="HAL25"/>
      <c r="HAM25"/>
      <c r="HAN25"/>
      <c r="HAO25"/>
      <c r="HAP25"/>
      <c r="HAQ25"/>
      <c r="HAR25"/>
      <c r="HAS25"/>
      <c r="HAT25"/>
      <c r="HAU25"/>
      <c r="HAV25"/>
      <c r="HAW25"/>
      <c r="HAX25"/>
      <c r="HAY25"/>
      <c r="HAZ25"/>
      <c r="HBA25"/>
      <c r="HBB25"/>
      <c r="HBC25"/>
      <c r="HBD25"/>
      <c r="HBE25"/>
      <c r="HBF25"/>
      <c r="HBG25"/>
      <c r="HBH25"/>
      <c r="HBI25"/>
      <c r="HBJ25"/>
      <c r="HBK25"/>
      <c r="HBL25"/>
      <c r="HBM25"/>
      <c r="HBN25"/>
      <c r="HBO25"/>
      <c r="HBP25"/>
      <c r="HBQ25"/>
      <c r="HBR25"/>
      <c r="HBS25"/>
      <c r="HBT25"/>
      <c r="HBU25"/>
      <c r="HBV25"/>
      <c r="HBW25"/>
      <c r="HBX25"/>
      <c r="HBY25"/>
      <c r="HBZ25"/>
      <c r="HCA25"/>
      <c r="HCB25"/>
      <c r="HCC25"/>
      <c r="HCD25"/>
      <c r="HCE25"/>
      <c r="HCF25"/>
      <c r="HCG25"/>
      <c r="HCH25"/>
      <c r="HCI25"/>
      <c r="HCJ25"/>
      <c r="HCK25"/>
      <c r="HCL25"/>
      <c r="HCM25"/>
      <c r="HCN25"/>
      <c r="HCO25"/>
      <c r="HCP25"/>
      <c r="HCQ25"/>
      <c r="HCR25"/>
      <c r="HCS25"/>
      <c r="HCT25"/>
      <c r="HCU25"/>
      <c r="HCV25"/>
      <c r="HCW25"/>
      <c r="HCX25"/>
      <c r="HCY25"/>
      <c r="HCZ25"/>
      <c r="HDA25"/>
      <c r="HDB25"/>
      <c r="HDC25"/>
      <c r="HDD25"/>
      <c r="HDE25"/>
      <c r="HDF25"/>
      <c r="HDG25"/>
      <c r="HDH25"/>
      <c r="HDI25"/>
      <c r="HDJ25"/>
      <c r="HDK25"/>
      <c r="HDL25"/>
      <c r="HDM25"/>
      <c r="HDN25"/>
      <c r="HDO25"/>
      <c r="HDP25"/>
      <c r="HDQ25"/>
      <c r="HDR25"/>
      <c r="HDS25"/>
      <c r="HDT25"/>
      <c r="HDU25"/>
      <c r="HDV25"/>
      <c r="HDW25"/>
      <c r="HDX25"/>
      <c r="HDY25"/>
      <c r="HDZ25"/>
      <c r="HEA25"/>
      <c r="HEB25"/>
      <c r="HEC25"/>
      <c r="HED25"/>
      <c r="HEE25"/>
      <c r="HEF25"/>
      <c r="HEG25"/>
      <c r="HEH25"/>
      <c r="HEI25"/>
      <c r="HEJ25"/>
      <c r="HEK25"/>
      <c r="HEL25"/>
      <c r="HEM25"/>
      <c r="HEN25"/>
      <c r="HEO25"/>
      <c r="HEP25"/>
      <c r="HEQ25"/>
      <c r="HER25"/>
      <c r="HES25"/>
      <c r="HET25"/>
      <c r="HEU25"/>
      <c r="HEV25"/>
      <c r="HEW25"/>
      <c r="HEX25"/>
      <c r="HEY25"/>
      <c r="HEZ25"/>
      <c r="HFA25"/>
      <c r="HFB25"/>
      <c r="HFC25"/>
      <c r="HFD25"/>
      <c r="HFE25"/>
      <c r="HFF25"/>
      <c r="HFG25"/>
      <c r="HFH25"/>
      <c r="HFI25"/>
      <c r="HFJ25"/>
      <c r="HFK25"/>
      <c r="HFL25"/>
      <c r="HFM25"/>
      <c r="HFN25"/>
      <c r="HFO25"/>
      <c r="HFP25"/>
      <c r="HFQ25"/>
      <c r="HFR25"/>
      <c r="HFS25"/>
      <c r="HFT25"/>
      <c r="HFU25"/>
      <c r="HFV25"/>
      <c r="HFW25"/>
      <c r="HFX25"/>
      <c r="HFY25"/>
      <c r="HFZ25"/>
      <c r="HGA25"/>
      <c r="HGB25"/>
      <c r="HGC25"/>
      <c r="HGD25"/>
      <c r="HGE25"/>
      <c r="HGF25"/>
      <c r="HGG25"/>
      <c r="HGH25"/>
      <c r="HGI25"/>
      <c r="HGJ25"/>
      <c r="HGK25"/>
      <c r="HGL25"/>
      <c r="HGM25"/>
      <c r="HGN25"/>
      <c r="HGO25"/>
      <c r="HGP25"/>
      <c r="HGQ25"/>
      <c r="HGR25"/>
      <c r="HGS25"/>
      <c r="HGT25"/>
      <c r="HGU25"/>
      <c r="HGV25"/>
      <c r="HGW25"/>
      <c r="HGX25"/>
      <c r="HGY25"/>
      <c r="HGZ25"/>
      <c r="HHA25"/>
      <c r="HHB25"/>
      <c r="HHC25"/>
      <c r="HHD25"/>
      <c r="HHE25"/>
      <c r="HHF25"/>
      <c r="HHG25"/>
      <c r="HHH25"/>
      <c r="HHI25"/>
      <c r="HHJ25"/>
      <c r="HHK25"/>
      <c r="HHL25"/>
      <c r="HHM25"/>
      <c r="HHN25"/>
      <c r="HHO25"/>
      <c r="HHP25"/>
      <c r="HHQ25"/>
      <c r="HHR25"/>
      <c r="HHS25"/>
      <c r="HHT25"/>
      <c r="HHU25"/>
      <c r="HHV25"/>
      <c r="HHW25"/>
      <c r="HHX25"/>
      <c r="HHY25"/>
      <c r="HHZ25"/>
      <c r="HIA25"/>
      <c r="HIB25"/>
      <c r="HIC25"/>
      <c r="HID25"/>
      <c r="HIE25"/>
      <c r="HIF25"/>
      <c r="HIG25"/>
      <c r="HIH25"/>
      <c r="HII25"/>
      <c r="HIJ25"/>
      <c r="HIK25"/>
      <c r="HIL25"/>
      <c r="HIM25"/>
      <c r="HIN25"/>
      <c r="HIO25"/>
      <c r="HIP25"/>
      <c r="HIQ25"/>
      <c r="HIR25"/>
      <c r="HIS25"/>
      <c r="HIT25"/>
      <c r="HIU25"/>
      <c r="HIV25"/>
      <c r="HIW25"/>
      <c r="HIX25"/>
      <c r="HIY25"/>
      <c r="HIZ25"/>
      <c r="HJA25"/>
      <c r="HJB25"/>
      <c r="HJC25"/>
      <c r="HJD25"/>
      <c r="HJE25"/>
      <c r="HJF25"/>
      <c r="HJG25"/>
      <c r="HJH25"/>
      <c r="HJI25"/>
      <c r="HJJ25"/>
      <c r="HJK25"/>
      <c r="HJL25"/>
      <c r="HJM25"/>
      <c r="HJN25"/>
      <c r="HJO25"/>
      <c r="HJP25"/>
      <c r="HJQ25"/>
      <c r="HJR25"/>
      <c r="HJS25"/>
      <c r="HJT25"/>
      <c r="HJU25"/>
      <c r="HJV25"/>
      <c r="HJW25"/>
      <c r="HJX25"/>
      <c r="HJY25"/>
      <c r="HJZ25"/>
      <c r="HKA25"/>
      <c r="HKB25"/>
      <c r="HKC25"/>
      <c r="HKD25"/>
      <c r="HKE25"/>
      <c r="HKF25"/>
      <c r="HKG25"/>
      <c r="HKH25"/>
      <c r="HKI25"/>
      <c r="HKJ25"/>
      <c r="HKK25"/>
      <c r="HKL25"/>
      <c r="HKM25"/>
      <c r="HKN25"/>
      <c r="HKO25"/>
      <c r="HKP25"/>
      <c r="HKQ25"/>
      <c r="HKR25"/>
      <c r="HKS25"/>
      <c r="HKT25"/>
      <c r="HKU25"/>
      <c r="HKV25"/>
      <c r="HKW25"/>
      <c r="HKX25"/>
      <c r="HKY25"/>
      <c r="HKZ25"/>
      <c r="HLA25"/>
      <c r="HLB25"/>
      <c r="HLC25"/>
      <c r="HLD25"/>
      <c r="HLE25"/>
      <c r="HLF25"/>
      <c r="HLG25"/>
      <c r="HLH25"/>
      <c r="HLI25"/>
      <c r="HLJ25"/>
      <c r="HLK25"/>
      <c r="HLL25"/>
      <c r="HLM25"/>
      <c r="HLN25"/>
      <c r="HLO25"/>
      <c r="HLP25"/>
      <c r="HLQ25"/>
      <c r="HLR25"/>
      <c r="HLS25"/>
      <c r="HLT25"/>
      <c r="HLU25"/>
      <c r="HLV25"/>
      <c r="HLW25"/>
      <c r="HLX25"/>
      <c r="HLY25"/>
      <c r="HLZ25"/>
      <c r="HMA25"/>
      <c r="HMB25"/>
      <c r="HMC25"/>
      <c r="HMD25"/>
      <c r="HME25"/>
      <c r="HMF25"/>
      <c r="HMG25"/>
      <c r="HMH25"/>
      <c r="HMI25"/>
      <c r="HMJ25"/>
      <c r="HMK25"/>
      <c r="HML25"/>
      <c r="HMM25"/>
      <c r="HMN25"/>
      <c r="HMO25"/>
      <c r="HMP25"/>
      <c r="HMQ25"/>
      <c r="HMR25"/>
      <c r="HMS25"/>
      <c r="HMT25"/>
      <c r="HMU25"/>
      <c r="HMV25"/>
      <c r="HMW25"/>
      <c r="HMX25"/>
      <c r="HMY25"/>
      <c r="HMZ25"/>
      <c r="HNA25"/>
      <c r="HNB25"/>
      <c r="HNC25"/>
      <c r="HND25"/>
      <c r="HNE25"/>
      <c r="HNF25"/>
      <c r="HNG25"/>
      <c r="HNH25"/>
      <c r="HNI25"/>
      <c r="HNJ25"/>
      <c r="HNK25"/>
      <c r="HNL25"/>
      <c r="HNM25"/>
      <c r="HNN25"/>
      <c r="HNO25"/>
      <c r="HNP25"/>
      <c r="HNQ25"/>
      <c r="HNR25"/>
      <c r="HNS25"/>
      <c r="HNT25"/>
      <c r="HNU25"/>
      <c r="HNV25"/>
      <c r="HNW25"/>
      <c r="HNX25"/>
      <c r="HNY25"/>
      <c r="HNZ25"/>
      <c r="HOA25"/>
      <c r="HOB25"/>
      <c r="HOC25"/>
      <c r="HOD25"/>
      <c r="HOE25"/>
      <c r="HOF25"/>
      <c r="HOG25"/>
      <c r="HOH25"/>
      <c r="HOI25"/>
      <c r="HOJ25"/>
      <c r="HOK25"/>
      <c r="HOL25"/>
      <c r="HOM25"/>
      <c r="HON25"/>
      <c r="HOO25"/>
      <c r="HOP25"/>
      <c r="HOQ25"/>
      <c r="HOR25"/>
      <c r="HOS25"/>
      <c r="HOT25"/>
      <c r="HOU25"/>
      <c r="HOV25"/>
      <c r="HOW25"/>
      <c r="HOX25"/>
      <c r="HOY25"/>
      <c r="HOZ25"/>
      <c r="HPA25"/>
      <c r="HPB25"/>
      <c r="HPC25"/>
      <c r="HPD25"/>
      <c r="HPE25"/>
      <c r="HPF25"/>
      <c r="HPG25"/>
      <c r="HPH25"/>
      <c r="HPI25"/>
      <c r="HPJ25"/>
      <c r="HPK25"/>
      <c r="HPL25"/>
      <c r="HPM25"/>
      <c r="HPN25"/>
      <c r="HPO25"/>
      <c r="HPP25"/>
      <c r="HPQ25"/>
      <c r="HPR25"/>
      <c r="HPS25"/>
      <c r="HPT25"/>
      <c r="HPU25"/>
      <c r="HPV25"/>
      <c r="HPW25"/>
      <c r="HPX25"/>
      <c r="HPY25"/>
      <c r="HPZ25"/>
      <c r="HQA25"/>
      <c r="HQB25"/>
      <c r="HQC25"/>
      <c r="HQD25"/>
      <c r="HQE25"/>
      <c r="HQF25"/>
      <c r="HQG25"/>
      <c r="HQH25"/>
      <c r="HQI25"/>
      <c r="HQJ25"/>
      <c r="HQK25"/>
      <c r="HQL25"/>
      <c r="HQM25"/>
      <c r="HQN25"/>
      <c r="HQO25"/>
      <c r="HQP25"/>
      <c r="HQQ25"/>
      <c r="HQR25"/>
      <c r="HQS25"/>
      <c r="HQT25"/>
      <c r="HQU25"/>
      <c r="HQV25"/>
      <c r="HQW25"/>
      <c r="HQX25"/>
      <c r="HQY25"/>
      <c r="HQZ25"/>
      <c r="HRA25"/>
      <c r="HRB25"/>
      <c r="HRC25"/>
      <c r="HRD25"/>
      <c r="HRE25"/>
      <c r="HRF25"/>
      <c r="HRG25"/>
      <c r="HRH25"/>
      <c r="HRI25"/>
      <c r="HRJ25"/>
      <c r="HRK25"/>
      <c r="HRL25"/>
      <c r="HRM25"/>
      <c r="HRN25"/>
      <c r="HRO25"/>
      <c r="HRP25"/>
      <c r="HRQ25"/>
      <c r="HRR25"/>
      <c r="HRS25"/>
      <c r="HRT25"/>
      <c r="HRU25"/>
      <c r="HRV25"/>
      <c r="HRW25"/>
      <c r="HRX25"/>
      <c r="HRY25"/>
      <c r="HRZ25"/>
      <c r="HSA25"/>
      <c r="HSB25"/>
      <c r="HSC25"/>
      <c r="HSD25"/>
      <c r="HSE25"/>
      <c r="HSF25"/>
      <c r="HSG25"/>
      <c r="HSH25"/>
      <c r="HSI25"/>
      <c r="HSJ25"/>
      <c r="HSK25"/>
      <c r="HSL25"/>
      <c r="HSM25"/>
      <c r="HSN25"/>
      <c r="HSO25"/>
      <c r="HSP25"/>
      <c r="HSQ25"/>
      <c r="HSR25"/>
      <c r="HSS25"/>
      <c r="HST25"/>
      <c r="HSU25"/>
      <c r="HSV25"/>
      <c r="HSW25"/>
      <c r="HSX25"/>
      <c r="HSY25"/>
      <c r="HSZ25"/>
      <c r="HTA25"/>
      <c r="HTB25"/>
      <c r="HTC25"/>
      <c r="HTD25"/>
      <c r="HTE25"/>
      <c r="HTF25"/>
      <c r="HTG25"/>
      <c r="HTH25"/>
      <c r="HTI25"/>
      <c r="HTJ25"/>
      <c r="HTK25"/>
      <c r="HTL25"/>
      <c r="HTM25"/>
      <c r="HTN25"/>
      <c r="HTO25"/>
      <c r="HTP25"/>
      <c r="HTQ25"/>
      <c r="HTR25"/>
      <c r="HTS25"/>
      <c r="HTT25"/>
      <c r="HTU25"/>
      <c r="HTV25"/>
      <c r="HTW25"/>
      <c r="HTX25"/>
      <c r="HTY25"/>
      <c r="HTZ25"/>
      <c r="HUA25"/>
      <c r="HUB25"/>
      <c r="HUC25"/>
      <c r="HUD25"/>
      <c r="HUE25"/>
      <c r="HUF25"/>
      <c r="HUG25"/>
      <c r="HUH25"/>
      <c r="HUI25"/>
      <c r="HUJ25"/>
      <c r="HUK25"/>
      <c r="HUL25"/>
      <c r="HUM25"/>
      <c r="HUN25"/>
      <c r="HUO25"/>
      <c r="HUP25"/>
      <c r="HUQ25"/>
      <c r="HUR25"/>
      <c r="HUS25"/>
      <c r="HUT25"/>
      <c r="HUU25"/>
      <c r="HUV25"/>
      <c r="HUW25"/>
      <c r="HUX25"/>
      <c r="HUY25"/>
      <c r="HUZ25"/>
      <c r="HVA25"/>
      <c r="HVB25"/>
      <c r="HVC25"/>
      <c r="HVD25"/>
      <c r="HVE25"/>
      <c r="HVF25"/>
      <c r="HVG25"/>
      <c r="HVH25"/>
      <c r="HVI25"/>
      <c r="HVJ25"/>
      <c r="HVK25"/>
      <c r="HVL25"/>
      <c r="HVM25"/>
      <c r="HVN25"/>
      <c r="HVO25"/>
      <c r="HVP25"/>
      <c r="HVQ25"/>
      <c r="HVR25"/>
      <c r="HVS25"/>
      <c r="HVT25"/>
      <c r="HVU25"/>
      <c r="HVV25"/>
      <c r="HVW25"/>
      <c r="HVX25"/>
      <c r="HVY25"/>
      <c r="HVZ25"/>
      <c r="HWA25"/>
      <c r="HWB25"/>
      <c r="HWC25"/>
      <c r="HWD25"/>
      <c r="HWE25"/>
      <c r="HWF25"/>
      <c r="HWG25"/>
      <c r="HWH25"/>
      <c r="HWI25"/>
      <c r="HWJ25"/>
      <c r="HWK25"/>
      <c r="HWL25"/>
      <c r="HWM25"/>
      <c r="HWN25"/>
      <c r="HWO25"/>
      <c r="HWP25"/>
      <c r="HWQ25"/>
      <c r="HWR25"/>
      <c r="HWS25"/>
      <c r="HWT25"/>
      <c r="HWU25"/>
      <c r="HWV25"/>
      <c r="HWW25"/>
      <c r="HWX25"/>
      <c r="HWY25"/>
      <c r="HWZ25"/>
      <c r="HXA25"/>
      <c r="HXB25"/>
      <c r="HXC25"/>
      <c r="HXD25"/>
      <c r="HXE25"/>
      <c r="HXF25"/>
      <c r="HXG25"/>
      <c r="HXH25"/>
      <c r="HXI25"/>
      <c r="HXJ25"/>
      <c r="HXK25"/>
      <c r="HXL25"/>
      <c r="HXM25"/>
      <c r="HXN25"/>
      <c r="HXO25"/>
      <c r="HXP25"/>
      <c r="HXQ25"/>
      <c r="HXR25"/>
      <c r="HXS25"/>
      <c r="HXT25"/>
      <c r="HXU25"/>
      <c r="HXV25"/>
      <c r="HXW25"/>
      <c r="HXX25"/>
      <c r="HXY25"/>
      <c r="HXZ25"/>
      <c r="HYA25"/>
      <c r="HYB25"/>
      <c r="HYC25"/>
      <c r="HYD25"/>
      <c r="HYE25"/>
      <c r="HYF25"/>
      <c r="HYG25"/>
      <c r="HYH25"/>
      <c r="HYI25"/>
      <c r="HYJ25"/>
      <c r="HYK25"/>
      <c r="HYL25"/>
      <c r="HYM25"/>
      <c r="HYN25"/>
      <c r="HYO25"/>
      <c r="HYP25"/>
      <c r="HYQ25"/>
      <c r="HYR25"/>
      <c r="HYS25"/>
      <c r="HYT25"/>
      <c r="HYU25"/>
      <c r="HYV25"/>
      <c r="HYW25"/>
      <c r="HYX25"/>
      <c r="HYY25"/>
      <c r="HYZ25"/>
      <c r="HZA25"/>
      <c r="HZB25"/>
      <c r="HZC25"/>
      <c r="HZD25"/>
      <c r="HZE25"/>
      <c r="HZF25"/>
      <c r="HZG25"/>
      <c r="HZH25"/>
      <c r="HZI25"/>
      <c r="HZJ25"/>
      <c r="HZK25"/>
      <c r="HZL25"/>
      <c r="HZM25"/>
      <c r="HZN25"/>
      <c r="HZO25"/>
      <c r="HZP25"/>
      <c r="HZQ25"/>
      <c r="HZR25"/>
      <c r="HZS25"/>
      <c r="HZT25"/>
      <c r="HZU25"/>
      <c r="HZV25"/>
      <c r="HZW25"/>
      <c r="HZX25"/>
      <c r="HZY25"/>
      <c r="HZZ25"/>
      <c r="IAA25"/>
      <c r="IAB25"/>
      <c r="IAC25"/>
      <c r="IAD25"/>
      <c r="IAE25"/>
      <c r="IAF25"/>
      <c r="IAG25"/>
      <c r="IAH25"/>
      <c r="IAI25"/>
      <c r="IAJ25"/>
      <c r="IAK25"/>
      <c r="IAL25"/>
      <c r="IAM25"/>
      <c r="IAN25"/>
      <c r="IAO25"/>
      <c r="IAP25"/>
      <c r="IAQ25"/>
      <c r="IAR25"/>
      <c r="IAS25"/>
      <c r="IAT25"/>
      <c r="IAU25"/>
      <c r="IAV25"/>
      <c r="IAW25"/>
      <c r="IAX25"/>
      <c r="IAY25"/>
      <c r="IAZ25"/>
      <c r="IBA25"/>
      <c r="IBB25"/>
      <c r="IBC25"/>
      <c r="IBD25"/>
      <c r="IBE25"/>
      <c r="IBF25"/>
      <c r="IBG25"/>
      <c r="IBH25"/>
      <c r="IBI25"/>
      <c r="IBJ25"/>
      <c r="IBK25"/>
      <c r="IBL25"/>
      <c r="IBM25"/>
      <c r="IBN25"/>
      <c r="IBO25"/>
      <c r="IBP25"/>
      <c r="IBQ25"/>
      <c r="IBR25"/>
      <c r="IBS25"/>
      <c r="IBT25"/>
      <c r="IBU25"/>
      <c r="IBV25"/>
      <c r="IBW25"/>
      <c r="IBX25"/>
      <c r="IBY25"/>
      <c r="IBZ25"/>
      <c r="ICA25"/>
      <c r="ICB25"/>
      <c r="ICC25"/>
      <c r="ICD25"/>
      <c r="ICE25"/>
      <c r="ICF25"/>
      <c r="ICG25"/>
      <c r="ICH25"/>
      <c r="ICI25"/>
      <c r="ICJ25"/>
      <c r="ICK25"/>
      <c r="ICL25"/>
      <c r="ICM25"/>
      <c r="ICN25"/>
      <c r="ICO25"/>
      <c r="ICP25"/>
      <c r="ICQ25"/>
      <c r="ICR25"/>
      <c r="ICS25"/>
      <c r="ICT25"/>
      <c r="ICU25"/>
      <c r="ICV25"/>
      <c r="ICW25"/>
      <c r="ICX25"/>
      <c r="ICY25"/>
      <c r="ICZ25"/>
      <c r="IDA25"/>
      <c r="IDB25"/>
      <c r="IDC25"/>
      <c r="IDD25"/>
      <c r="IDE25"/>
      <c r="IDF25"/>
      <c r="IDG25"/>
      <c r="IDH25"/>
      <c r="IDI25"/>
      <c r="IDJ25"/>
      <c r="IDK25"/>
      <c r="IDL25"/>
      <c r="IDM25"/>
      <c r="IDN25"/>
      <c r="IDO25"/>
      <c r="IDP25"/>
      <c r="IDQ25"/>
      <c r="IDR25"/>
      <c r="IDS25"/>
      <c r="IDT25"/>
      <c r="IDU25"/>
      <c r="IDV25"/>
      <c r="IDW25"/>
      <c r="IDX25"/>
      <c r="IDY25"/>
      <c r="IDZ25"/>
      <c r="IEA25"/>
      <c r="IEB25"/>
      <c r="IEC25"/>
      <c r="IED25"/>
      <c r="IEE25"/>
      <c r="IEF25"/>
      <c r="IEG25"/>
      <c r="IEH25"/>
      <c r="IEI25"/>
      <c r="IEJ25"/>
      <c r="IEK25"/>
      <c r="IEL25"/>
      <c r="IEM25"/>
      <c r="IEN25"/>
      <c r="IEO25"/>
      <c r="IEP25"/>
      <c r="IEQ25"/>
      <c r="IER25"/>
      <c r="IES25"/>
      <c r="IET25"/>
      <c r="IEU25"/>
      <c r="IEV25"/>
      <c r="IEW25"/>
      <c r="IEX25"/>
      <c r="IEY25"/>
      <c r="IEZ25"/>
      <c r="IFA25"/>
      <c r="IFB25"/>
      <c r="IFC25"/>
      <c r="IFD25"/>
      <c r="IFE25"/>
      <c r="IFF25"/>
      <c r="IFG25"/>
      <c r="IFH25"/>
      <c r="IFI25"/>
      <c r="IFJ25"/>
      <c r="IFK25"/>
      <c r="IFL25"/>
      <c r="IFM25"/>
      <c r="IFN25"/>
      <c r="IFO25"/>
      <c r="IFP25"/>
      <c r="IFQ25"/>
      <c r="IFR25"/>
      <c r="IFS25"/>
      <c r="IFT25"/>
      <c r="IFU25"/>
      <c r="IFV25"/>
      <c r="IFW25"/>
      <c r="IFX25"/>
      <c r="IFY25"/>
      <c r="IFZ25"/>
      <c r="IGA25"/>
      <c r="IGB25"/>
      <c r="IGC25"/>
      <c r="IGD25"/>
      <c r="IGE25"/>
      <c r="IGF25"/>
      <c r="IGG25"/>
      <c r="IGH25"/>
      <c r="IGI25"/>
      <c r="IGJ25"/>
      <c r="IGK25"/>
      <c r="IGL25"/>
      <c r="IGM25"/>
      <c r="IGN25"/>
      <c r="IGO25"/>
      <c r="IGP25"/>
      <c r="IGQ25"/>
      <c r="IGR25"/>
      <c r="IGS25"/>
      <c r="IGT25"/>
      <c r="IGU25"/>
      <c r="IGV25"/>
      <c r="IGW25"/>
      <c r="IGX25"/>
      <c r="IGY25"/>
      <c r="IGZ25"/>
      <c r="IHA25"/>
      <c r="IHB25"/>
      <c r="IHC25"/>
      <c r="IHD25"/>
      <c r="IHE25"/>
      <c r="IHF25"/>
      <c r="IHG25"/>
      <c r="IHH25"/>
      <c r="IHI25"/>
      <c r="IHJ25"/>
      <c r="IHK25"/>
      <c r="IHL25"/>
      <c r="IHM25"/>
      <c r="IHN25"/>
      <c r="IHO25"/>
      <c r="IHP25"/>
      <c r="IHQ25"/>
      <c r="IHR25"/>
      <c r="IHS25"/>
      <c r="IHT25"/>
      <c r="IHU25"/>
      <c r="IHV25"/>
      <c r="IHW25"/>
      <c r="IHX25"/>
      <c r="IHY25"/>
      <c r="IHZ25"/>
      <c r="IIA25"/>
      <c r="IIB25"/>
      <c r="IIC25"/>
      <c r="IID25"/>
      <c r="IIE25"/>
      <c r="IIF25"/>
      <c r="IIG25"/>
      <c r="IIH25"/>
      <c r="III25"/>
      <c r="IIJ25"/>
      <c r="IIK25"/>
      <c r="IIL25"/>
      <c r="IIM25"/>
      <c r="IIN25"/>
      <c r="IIO25"/>
      <c r="IIP25"/>
      <c r="IIQ25"/>
      <c r="IIR25"/>
      <c r="IIS25"/>
      <c r="IIT25"/>
      <c r="IIU25"/>
      <c r="IIV25"/>
      <c r="IIW25"/>
      <c r="IIX25"/>
      <c r="IIY25"/>
      <c r="IIZ25"/>
      <c r="IJA25"/>
      <c r="IJB25"/>
      <c r="IJC25"/>
      <c r="IJD25"/>
      <c r="IJE25"/>
      <c r="IJF25"/>
      <c r="IJG25"/>
      <c r="IJH25"/>
      <c r="IJI25"/>
      <c r="IJJ25"/>
      <c r="IJK25"/>
      <c r="IJL25"/>
      <c r="IJM25"/>
      <c r="IJN25"/>
      <c r="IJO25"/>
      <c r="IJP25"/>
      <c r="IJQ25"/>
      <c r="IJR25"/>
      <c r="IJS25"/>
      <c r="IJT25"/>
      <c r="IJU25"/>
      <c r="IJV25"/>
      <c r="IJW25"/>
      <c r="IJX25"/>
      <c r="IJY25"/>
      <c r="IJZ25"/>
      <c r="IKA25"/>
      <c r="IKB25"/>
      <c r="IKC25"/>
      <c r="IKD25"/>
      <c r="IKE25"/>
      <c r="IKF25"/>
      <c r="IKG25"/>
      <c r="IKH25"/>
      <c r="IKI25"/>
      <c r="IKJ25"/>
      <c r="IKK25"/>
      <c r="IKL25"/>
      <c r="IKM25"/>
      <c r="IKN25"/>
      <c r="IKO25"/>
      <c r="IKP25"/>
      <c r="IKQ25"/>
      <c r="IKR25"/>
      <c r="IKS25"/>
      <c r="IKT25"/>
      <c r="IKU25"/>
      <c r="IKV25"/>
      <c r="IKW25"/>
      <c r="IKX25"/>
      <c r="IKY25"/>
      <c r="IKZ25"/>
      <c r="ILA25"/>
      <c r="ILB25"/>
      <c r="ILC25"/>
      <c r="ILD25"/>
      <c r="ILE25"/>
      <c r="ILF25"/>
      <c r="ILG25"/>
      <c r="ILH25"/>
      <c r="ILI25"/>
      <c r="ILJ25"/>
      <c r="ILK25"/>
      <c r="ILL25"/>
      <c r="ILM25"/>
      <c r="ILN25"/>
      <c r="ILO25"/>
      <c r="ILP25"/>
      <c r="ILQ25"/>
      <c r="ILR25"/>
      <c r="ILS25"/>
      <c r="ILT25"/>
      <c r="ILU25"/>
      <c r="ILV25"/>
      <c r="ILW25"/>
      <c r="ILX25"/>
      <c r="ILY25"/>
      <c r="ILZ25"/>
      <c r="IMA25"/>
      <c r="IMB25"/>
      <c r="IMC25"/>
      <c r="IMD25"/>
      <c r="IME25"/>
      <c r="IMF25"/>
      <c r="IMG25"/>
      <c r="IMH25"/>
      <c r="IMI25"/>
      <c r="IMJ25"/>
      <c r="IMK25"/>
      <c r="IML25"/>
      <c r="IMM25"/>
      <c r="IMN25"/>
      <c r="IMO25"/>
      <c r="IMP25"/>
      <c r="IMQ25"/>
      <c r="IMR25"/>
      <c r="IMS25"/>
      <c r="IMT25"/>
      <c r="IMU25"/>
      <c r="IMV25"/>
      <c r="IMW25"/>
      <c r="IMX25"/>
      <c r="IMY25"/>
      <c r="IMZ25"/>
      <c r="INA25"/>
      <c r="INB25"/>
      <c r="INC25"/>
      <c r="IND25"/>
      <c r="INE25"/>
      <c r="INF25"/>
      <c r="ING25"/>
      <c r="INH25"/>
      <c r="INI25"/>
      <c r="INJ25"/>
      <c r="INK25"/>
      <c r="INL25"/>
      <c r="INM25"/>
      <c r="INN25"/>
      <c r="INO25"/>
      <c r="INP25"/>
      <c r="INQ25"/>
      <c r="INR25"/>
      <c r="INS25"/>
      <c r="INT25"/>
      <c r="INU25"/>
      <c r="INV25"/>
      <c r="INW25"/>
      <c r="INX25"/>
      <c r="INY25"/>
      <c r="INZ25"/>
      <c r="IOA25"/>
      <c r="IOB25"/>
      <c r="IOC25"/>
      <c r="IOD25"/>
      <c r="IOE25"/>
      <c r="IOF25"/>
      <c r="IOG25"/>
      <c r="IOH25"/>
      <c r="IOI25"/>
      <c r="IOJ25"/>
      <c r="IOK25"/>
      <c r="IOL25"/>
      <c r="IOM25"/>
      <c r="ION25"/>
      <c r="IOO25"/>
      <c r="IOP25"/>
      <c r="IOQ25"/>
      <c r="IOR25"/>
      <c r="IOS25"/>
      <c r="IOT25"/>
      <c r="IOU25"/>
      <c r="IOV25"/>
      <c r="IOW25"/>
      <c r="IOX25"/>
      <c r="IOY25"/>
      <c r="IOZ25"/>
      <c r="IPA25"/>
      <c r="IPB25"/>
      <c r="IPC25"/>
      <c r="IPD25"/>
      <c r="IPE25"/>
      <c r="IPF25"/>
      <c r="IPG25"/>
      <c r="IPH25"/>
      <c r="IPI25"/>
      <c r="IPJ25"/>
      <c r="IPK25"/>
      <c r="IPL25"/>
      <c r="IPM25"/>
      <c r="IPN25"/>
      <c r="IPO25"/>
      <c r="IPP25"/>
      <c r="IPQ25"/>
      <c r="IPR25"/>
      <c r="IPS25"/>
      <c r="IPT25"/>
      <c r="IPU25"/>
      <c r="IPV25"/>
      <c r="IPW25"/>
      <c r="IPX25"/>
      <c r="IPY25"/>
      <c r="IPZ25"/>
      <c r="IQA25"/>
      <c r="IQB25"/>
      <c r="IQC25"/>
      <c r="IQD25"/>
      <c r="IQE25"/>
      <c r="IQF25"/>
      <c r="IQG25"/>
      <c r="IQH25"/>
      <c r="IQI25"/>
      <c r="IQJ25"/>
      <c r="IQK25"/>
      <c r="IQL25"/>
      <c r="IQM25"/>
      <c r="IQN25"/>
      <c r="IQO25"/>
      <c r="IQP25"/>
      <c r="IQQ25"/>
      <c r="IQR25"/>
      <c r="IQS25"/>
      <c r="IQT25"/>
      <c r="IQU25"/>
      <c r="IQV25"/>
      <c r="IQW25"/>
      <c r="IQX25"/>
      <c r="IQY25"/>
      <c r="IQZ25"/>
      <c r="IRA25"/>
      <c r="IRB25"/>
      <c r="IRC25"/>
      <c r="IRD25"/>
      <c r="IRE25"/>
      <c r="IRF25"/>
      <c r="IRG25"/>
      <c r="IRH25"/>
      <c r="IRI25"/>
      <c r="IRJ25"/>
      <c r="IRK25"/>
      <c r="IRL25"/>
      <c r="IRM25"/>
      <c r="IRN25"/>
      <c r="IRO25"/>
      <c r="IRP25"/>
      <c r="IRQ25"/>
      <c r="IRR25"/>
      <c r="IRS25"/>
      <c r="IRT25"/>
      <c r="IRU25"/>
      <c r="IRV25"/>
      <c r="IRW25"/>
      <c r="IRX25"/>
      <c r="IRY25"/>
      <c r="IRZ25"/>
      <c r="ISA25"/>
      <c r="ISB25"/>
      <c r="ISC25"/>
      <c r="ISD25"/>
      <c r="ISE25"/>
      <c r="ISF25"/>
      <c r="ISG25"/>
      <c r="ISH25"/>
      <c r="ISI25"/>
      <c r="ISJ25"/>
      <c r="ISK25"/>
      <c r="ISL25"/>
      <c r="ISM25"/>
      <c r="ISN25"/>
      <c r="ISO25"/>
      <c r="ISP25"/>
      <c r="ISQ25"/>
      <c r="ISR25"/>
      <c r="ISS25"/>
      <c r="IST25"/>
      <c r="ISU25"/>
      <c r="ISV25"/>
      <c r="ISW25"/>
      <c r="ISX25"/>
      <c r="ISY25"/>
      <c r="ISZ25"/>
      <c r="ITA25"/>
      <c r="ITB25"/>
      <c r="ITC25"/>
      <c r="ITD25"/>
      <c r="ITE25"/>
      <c r="ITF25"/>
      <c r="ITG25"/>
      <c r="ITH25"/>
      <c r="ITI25"/>
      <c r="ITJ25"/>
      <c r="ITK25"/>
      <c r="ITL25"/>
      <c r="ITM25"/>
      <c r="ITN25"/>
      <c r="ITO25"/>
      <c r="ITP25"/>
      <c r="ITQ25"/>
      <c r="ITR25"/>
      <c r="ITS25"/>
      <c r="ITT25"/>
      <c r="ITU25"/>
      <c r="ITV25"/>
      <c r="ITW25"/>
      <c r="ITX25"/>
      <c r="ITY25"/>
      <c r="ITZ25"/>
      <c r="IUA25"/>
      <c r="IUB25"/>
      <c r="IUC25"/>
      <c r="IUD25"/>
      <c r="IUE25"/>
      <c r="IUF25"/>
      <c r="IUG25"/>
      <c r="IUH25"/>
      <c r="IUI25"/>
      <c r="IUJ25"/>
      <c r="IUK25"/>
      <c r="IUL25"/>
      <c r="IUM25"/>
      <c r="IUN25"/>
      <c r="IUO25"/>
      <c r="IUP25"/>
      <c r="IUQ25"/>
      <c r="IUR25"/>
      <c r="IUS25"/>
      <c r="IUT25"/>
      <c r="IUU25"/>
      <c r="IUV25"/>
      <c r="IUW25"/>
      <c r="IUX25"/>
      <c r="IUY25"/>
      <c r="IUZ25"/>
      <c r="IVA25"/>
      <c r="IVB25"/>
      <c r="IVC25"/>
      <c r="IVD25"/>
      <c r="IVE25"/>
      <c r="IVF25"/>
      <c r="IVG25"/>
      <c r="IVH25"/>
      <c r="IVI25"/>
      <c r="IVJ25"/>
      <c r="IVK25"/>
      <c r="IVL25"/>
      <c r="IVM25"/>
      <c r="IVN25"/>
      <c r="IVO25"/>
      <c r="IVP25"/>
      <c r="IVQ25"/>
      <c r="IVR25"/>
      <c r="IVS25"/>
      <c r="IVT25"/>
      <c r="IVU25"/>
      <c r="IVV25"/>
      <c r="IVW25"/>
      <c r="IVX25"/>
      <c r="IVY25"/>
      <c r="IVZ25"/>
      <c r="IWA25"/>
      <c r="IWB25"/>
      <c r="IWC25"/>
      <c r="IWD25"/>
      <c r="IWE25"/>
      <c r="IWF25"/>
      <c r="IWG25"/>
      <c r="IWH25"/>
      <c r="IWI25"/>
      <c r="IWJ25"/>
      <c r="IWK25"/>
      <c r="IWL25"/>
      <c r="IWM25"/>
      <c r="IWN25"/>
      <c r="IWO25"/>
      <c r="IWP25"/>
      <c r="IWQ25"/>
      <c r="IWR25"/>
      <c r="IWS25"/>
      <c r="IWT25"/>
      <c r="IWU25"/>
      <c r="IWV25"/>
      <c r="IWW25"/>
      <c r="IWX25"/>
      <c r="IWY25"/>
      <c r="IWZ25"/>
      <c r="IXA25"/>
      <c r="IXB25"/>
      <c r="IXC25"/>
      <c r="IXD25"/>
      <c r="IXE25"/>
      <c r="IXF25"/>
      <c r="IXG25"/>
      <c r="IXH25"/>
      <c r="IXI25"/>
      <c r="IXJ25"/>
      <c r="IXK25"/>
      <c r="IXL25"/>
      <c r="IXM25"/>
      <c r="IXN25"/>
      <c r="IXO25"/>
      <c r="IXP25"/>
      <c r="IXQ25"/>
      <c r="IXR25"/>
      <c r="IXS25"/>
      <c r="IXT25"/>
      <c r="IXU25"/>
      <c r="IXV25"/>
      <c r="IXW25"/>
      <c r="IXX25"/>
      <c r="IXY25"/>
      <c r="IXZ25"/>
      <c r="IYA25"/>
      <c r="IYB25"/>
      <c r="IYC25"/>
      <c r="IYD25"/>
      <c r="IYE25"/>
      <c r="IYF25"/>
      <c r="IYG25"/>
      <c r="IYH25"/>
      <c r="IYI25"/>
      <c r="IYJ25"/>
      <c r="IYK25"/>
      <c r="IYL25"/>
      <c r="IYM25"/>
      <c r="IYN25"/>
      <c r="IYO25"/>
      <c r="IYP25"/>
      <c r="IYQ25"/>
      <c r="IYR25"/>
      <c r="IYS25"/>
      <c r="IYT25"/>
      <c r="IYU25"/>
      <c r="IYV25"/>
      <c r="IYW25"/>
      <c r="IYX25"/>
      <c r="IYY25"/>
      <c r="IYZ25"/>
      <c r="IZA25"/>
      <c r="IZB25"/>
      <c r="IZC25"/>
      <c r="IZD25"/>
      <c r="IZE25"/>
      <c r="IZF25"/>
      <c r="IZG25"/>
      <c r="IZH25"/>
      <c r="IZI25"/>
      <c r="IZJ25"/>
      <c r="IZK25"/>
      <c r="IZL25"/>
      <c r="IZM25"/>
      <c r="IZN25"/>
      <c r="IZO25"/>
      <c r="IZP25"/>
      <c r="IZQ25"/>
      <c r="IZR25"/>
      <c r="IZS25"/>
      <c r="IZT25"/>
      <c r="IZU25"/>
      <c r="IZV25"/>
      <c r="IZW25"/>
      <c r="IZX25"/>
      <c r="IZY25"/>
      <c r="IZZ25"/>
      <c r="JAA25"/>
      <c r="JAB25"/>
      <c r="JAC25"/>
      <c r="JAD25"/>
      <c r="JAE25"/>
      <c r="JAF25"/>
      <c r="JAG25"/>
      <c r="JAH25"/>
      <c r="JAI25"/>
      <c r="JAJ25"/>
      <c r="JAK25"/>
      <c r="JAL25"/>
      <c r="JAM25"/>
      <c r="JAN25"/>
      <c r="JAO25"/>
      <c r="JAP25"/>
      <c r="JAQ25"/>
      <c r="JAR25"/>
      <c r="JAS25"/>
      <c r="JAT25"/>
      <c r="JAU25"/>
      <c r="JAV25"/>
      <c r="JAW25"/>
      <c r="JAX25"/>
      <c r="JAY25"/>
      <c r="JAZ25"/>
      <c r="JBA25"/>
      <c r="JBB25"/>
      <c r="JBC25"/>
      <c r="JBD25"/>
      <c r="JBE25"/>
      <c r="JBF25"/>
      <c r="JBG25"/>
      <c r="JBH25"/>
      <c r="JBI25"/>
      <c r="JBJ25"/>
      <c r="JBK25"/>
      <c r="JBL25"/>
      <c r="JBM25"/>
      <c r="JBN25"/>
      <c r="JBO25"/>
      <c r="JBP25"/>
      <c r="JBQ25"/>
      <c r="JBR25"/>
      <c r="JBS25"/>
      <c r="JBT25"/>
      <c r="JBU25"/>
      <c r="JBV25"/>
      <c r="JBW25"/>
      <c r="JBX25"/>
      <c r="JBY25"/>
      <c r="JBZ25"/>
      <c r="JCA25"/>
      <c r="JCB25"/>
      <c r="JCC25"/>
      <c r="JCD25"/>
      <c r="JCE25"/>
      <c r="JCF25"/>
      <c r="JCG25"/>
      <c r="JCH25"/>
      <c r="JCI25"/>
      <c r="JCJ25"/>
      <c r="JCK25"/>
      <c r="JCL25"/>
      <c r="JCM25"/>
      <c r="JCN25"/>
      <c r="JCO25"/>
      <c r="JCP25"/>
      <c r="JCQ25"/>
      <c r="JCR25"/>
      <c r="JCS25"/>
      <c r="JCT25"/>
      <c r="JCU25"/>
      <c r="JCV25"/>
      <c r="JCW25"/>
      <c r="JCX25"/>
      <c r="JCY25"/>
      <c r="JCZ25"/>
      <c r="JDA25"/>
      <c r="JDB25"/>
      <c r="JDC25"/>
      <c r="JDD25"/>
      <c r="JDE25"/>
      <c r="JDF25"/>
      <c r="JDG25"/>
      <c r="JDH25"/>
      <c r="JDI25"/>
      <c r="JDJ25"/>
      <c r="JDK25"/>
      <c r="JDL25"/>
      <c r="JDM25"/>
      <c r="JDN25"/>
      <c r="JDO25"/>
      <c r="JDP25"/>
      <c r="JDQ25"/>
      <c r="JDR25"/>
      <c r="JDS25"/>
      <c r="JDT25"/>
      <c r="JDU25"/>
      <c r="JDV25"/>
      <c r="JDW25"/>
      <c r="JDX25"/>
      <c r="JDY25"/>
      <c r="JDZ25"/>
      <c r="JEA25"/>
      <c r="JEB25"/>
      <c r="JEC25"/>
      <c r="JED25"/>
      <c r="JEE25"/>
      <c r="JEF25"/>
      <c r="JEG25"/>
      <c r="JEH25"/>
      <c r="JEI25"/>
      <c r="JEJ25"/>
      <c r="JEK25"/>
      <c r="JEL25"/>
      <c r="JEM25"/>
      <c r="JEN25"/>
      <c r="JEO25"/>
      <c r="JEP25"/>
      <c r="JEQ25"/>
      <c r="JER25"/>
      <c r="JES25"/>
      <c r="JET25"/>
      <c r="JEU25"/>
      <c r="JEV25"/>
      <c r="JEW25"/>
      <c r="JEX25"/>
      <c r="JEY25"/>
      <c r="JEZ25"/>
      <c r="JFA25"/>
      <c r="JFB25"/>
      <c r="JFC25"/>
      <c r="JFD25"/>
      <c r="JFE25"/>
      <c r="JFF25"/>
      <c r="JFG25"/>
      <c r="JFH25"/>
      <c r="JFI25"/>
      <c r="JFJ25"/>
      <c r="JFK25"/>
      <c r="JFL25"/>
      <c r="JFM25"/>
      <c r="JFN25"/>
      <c r="JFO25"/>
      <c r="JFP25"/>
      <c r="JFQ25"/>
      <c r="JFR25"/>
      <c r="JFS25"/>
      <c r="JFT25"/>
      <c r="JFU25"/>
      <c r="JFV25"/>
      <c r="JFW25"/>
      <c r="JFX25"/>
      <c r="JFY25"/>
      <c r="JFZ25"/>
      <c r="JGA25"/>
      <c r="JGB25"/>
      <c r="JGC25"/>
      <c r="JGD25"/>
      <c r="JGE25"/>
      <c r="JGF25"/>
      <c r="JGG25"/>
      <c r="JGH25"/>
      <c r="JGI25"/>
      <c r="JGJ25"/>
      <c r="JGK25"/>
      <c r="JGL25"/>
      <c r="JGM25"/>
      <c r="JGN25"/>
      <c r="JGO25"/>
      <c r="JGP25"/>
      <c r="JGQ25"/>
      <c r="JGR25"/>
      <c r="JGS25"/>
      <c r="JGT25"/>
      <c r="JGU25"/>
      <c r="JGV25"/>
      <c r="JGW25"/>
      <c r="JGX25"/>
      <c r="JGY25"/>
      <c r="JGZ25"/>
      <c r="JHA25"/>
      <c r="JHB25"/>
      <c r="JHC25"/>
      <c r="JHD25"/>
      <c r="JHE25"/>
      <c r="JHF25"/>
      <c r="JHG25"/>
      <c r="JHH25"/>
      <c r="JHI25"/>
      <c r="JHJ25"/>
      <c r="JHK25"/>
      <c r="JHL25"/>
      <c r="JHM25"/>
      <c r="JHN25"/>
      <c r="JHO25"/>
      <c r="JHP25"/>
      <c r="JHQ25"/>
      <c r="JHR25"/>
      <c r="JHS25"/>
      <c r="JHT25"/>
      <c r="JHU25"/>
      <c r="JHV25"/>
      <c r="JHW25"/>
      <c r="JHX25"/>
      <c r="JHY25"/>
      <c r="JHZ25"/>
      <c r="JIA25"/>
      <c r="JIB25"/>
      <c r="JIC25"/>
      <c r="JID25"/>
      <c r="JIE25"/>
      <c r="JIF25"/>
      <c r="JIG25"/>
      <c r="JIH25"/>
      <c r="JII25"/>
      <c r="JIJ25"/>
      <c r="JIK25"/>
      <c r="JIL25"/>
      <c r="JIM25"/>
      <c r="JIN25"/>
      <c r="JIO25"/>
      <c r="JIP25"/>
      <c r="JIQ25"/>
      <c r="JIR25"/>
      <c r="JIS25"/>
      <c r="JIT25"/>
      <c r="JIU25"/>
      <c r="JIV25"/>
      <c r="JIW25"/>
      <c r="JIX25"/>
      <c r="JIY25"/>
      <c r="JIZ25"/>
      <c r="JJA25"/>
      <c r="JJB25"/>
      <c r="JJC25"/>
      <c r="JJD25"/>
      <c r="JJE25"/>
      <c r="JJF25"/>
      <c r="JJG25"/>
      <c r="JJH25"/>
      <c r="JJI25"/>
      <c r="JJJ25"/>
      <c r="JJK25"/>
      <c r="JJL25"/>
      <c r="JJM25"/>
      <c r="JJN25"/>
      <c r="JJO25"/>
      <c r="JJP25"/>
      <c r="JJQ25"/>
      <c r="JJR25"/>
      <c r="JJS25"/>
      <c r="JJT25"/>
      <c r="JJU25"/>
      <c r="JJV25"/>
      <c r="JJW25"/>
      <c r="JJX25"/>
      <c r="JJY25"/>
      <c r="JJZ25"/>
      <c r="JKA25"/>
      <c r="JKB25"/>
      <c r="JKC25"/>
      <c r="JKD25"/>
      <c r="JKE25"/>
      <c r="JKF25"/>
      <c r="JKG25"/>
      <c r="JKH25"/>
      <c r="JKI25"/>
      <c r="JKJ25"/>
      <c r="JKK25"/>
      <c r="JKL25"/>
      <c r="JKM25"/>
      <c r="JKN25"/>
      <c r="JKO25"/>
      <c r="JKP25"/>
      <c r="JKQ25"/>
      <c r="JKR25"/>
      <c r="JKS25"/>
      <c r="JKT25"/>
      <c r="JKU25"/>
      <c r="JKV25"/>
      <c r="JKW25"/>
      <c r="JKX25"/>
      <c r="JKY25"/>
      <c r="JKZ25"/>
      <c r="JLA25"/>
      <c r="JLB25"/>
      <c r="JLC25"/>
      <c r="JLD25"/>
      <c r="JLE25"/>
      <c r="JLF25"/>
      <c r="JLG25"/>
      <c r="JLH25"/>
      <c r="JLI25"/>
      <c r="JLJ25"/>
      <c r="JLK25"/>
      <c r="JLL25"/>
      <c r="JLM25"/>
      <c r="JLN25"/>
      <c r="JLO25"/>
      <c r="JLP25"/>
      <c r="JLQ25"/>
      <c r="JLR25"/>
      <c r="JLS25"/>
      <c r="JLT25"/>
      <c r="JLU25"/>
      <c r="JLV25"/>
      <c r="JLW25"/>
      <c r="JLX25"/>
      <c r="JLY25"/>
      <c r="JLZ25"/>
      <c r="JMA25"/>
      <c r="JMB25"/>
      <c r="JMC25"/>
      <c r="JMD25"/>
      <c r="JME25"/>
      <c r="JMF25"/>
      <c r="JMG25"/>
      <c r="JMH25"/>
      <c r="JMI25"/>
      <c r="JMJ25"/>
      <c r="JMK25"/>
      <c r="JML25"/>
      <c r="JMM25"/>
      <c r="JMN25"/>
      <c r="JMO25"/>
      <c r="JMP25"/>
      <c r="JMQ25"/>
      <c r="JMR25"/>
      <c r="JMS25"/>
      <c r="JMT25"/>
      <c r="JMU25"/>
      <c r="JMV25"/>
      <c r="JMW25"/>
      <c r="JMX25"/>
      <c r="JMY25"/>
      <c r="JMZ25"/>
      <c r="JNA25"/>
      <c r="JNB25"/>
      <c r="JNC25"/>
      <c r="JND25"/>
      <c r="JNE25"/>
      <c r="JNF25"/>
      <c r="JNG25"/>
      <c r="JNH25"/>
      <c r="JNI25"/>
      <c r="JNJ25"/>
      <c r="JNK25"/>
      <c r="JNL25"/>
      <c r="JNM25"/>
      <c r="JNN25"/>
      <c r="JNO25"/>
      <c r="JNP25"/>
      <c r="JNQ25"/>
      <c r="JNR25"/>
      <c r="JNS25"/>
      <c r="JNT25"/>
      <c r="JNU25"/>
      <c r="JNV25"/>
      <c r="JNW25"/>
      <c r="JNX25"/>
      <c r="JNY25"/>
      <c r="JNZ25"/>
      <c r="JOA25"/>
      <c r="JOB25"/>
      <c r="JOC25"/>
      <c r="JOD25"/>
      <c r="JOE25"/>
      <c r="JOF25"/>
      <c r="JOG25"/>
      <c r="JOH25"/>
      <c r="JOI25"/>
      <c r="JOJ25"/>
      <c r="JOK25"/>
      <c r="JOL25"/>
      <c r="JOM25"/>
      <c r="JON25"/>
      <c r="JOO25"/>
      <c r="JOP25"/>
      <c r="JOQ25"/>
      <c r="JOR25"/>
      <c r="JOS25"/>
      <c r="JOT25"/>
      <c r="JOU25"/>
      <c r="JOV25"/>
      <c r="JOW25"/>
      <c r="JOX25"/>
      <c r="JOY25"/>
      <c r="JOZ25"/>
      <c r="JPA25"/>
      <c r="JPB25"/>
      <c r="JPC25"/>
      <c r="JPD25"/>
      <c r="JPE25"/>
      <c r="JPF25"/>
      <c r="JPG25"/>
      <c r="JPH25"/>
      <c r="JPI25"/>
      <c r="JPJ25"/>
      <c r="JPK25"/>
      <c r="JPL25"/>
      <c r="JPM25"/>
      <c r="JPN25"/>
      <c r="JPO25"/>
      <c r="JPP25"/>
      <c r="JPQ25"/>
      <c r="JPR25"/>
      <c r="JPS25"/>
      <c r="JPT25"/>
      <c r="JPU25"/>
      <c r="JPV25"/>
      <c r="JPW25"/>
      <c r="JPX25"/>
      <c r="JPY25"/>
      <c r="JPZ25"/>
      <c r="JQA25"/>
      <c r="JQB25"/>
      <c r="JQC25"/>
      <c r="JQD25"/>
      <c r="JQE25"/>
      <c r="JQF25"/>
      <c r="JQG25"/>
      <c r="JQH25"/>
      <c r="JQI25"/>
      <c r="JQJ25"/>
      <c r="JQK25"/>
      <c r="JQL25"/>
      <c r="JQM25"/>
      <c r="JQN25"/>
      <c r="JQO25"/>
      <c r="JQP25"/>
      <c r="JQQ25"/>
      <c r="JQR25"/>
      <c r="JQS25"/>
      <c r="JQT25"/>
      <c r="JQU25"/>
      <c r="JQV25"/>
      <c r="JQW25"/>
      <c r="JQX25"/>
      <c r="JQY25"/>
      <c r="JQZ25"/>
      <c r="JRA25"/>
      <c r="JRB25"/>
      <c r="JRC25"/>
      <c r="JRD25"/>
      <c r="JRE25"/>
      <c r="JRF25"/>
      <c r="JRG25"/>
      <c r="JRH25"/>
      <c r="JRI25"/>
      <c r="JRJ25"/>
      <c r="JRK25"/>
      <c r="JRL25"/>
      <c r="JRM25"/>
      <c r="JRN25"/>
      <c r="JRO25"/>
      <c r="JRP25"/>
      <c r="JRQ25"/>
      <c r="JRR25"/>
      <c r="JRS25"/>
      <c r="JRT25"/>
      <c r="JRU25"/>
      <c r="JRV25"/>
      <c r="JRW25"/>
      <c r="JRX25"/>
      <c r="JRY25"/>
      <c r="JRZ25"/>
      <c r="JSA25"/>
      <c r="JSB25"/>
      <c r="JSC25"/>
      <c r="JSD25"/>
      <c r="JSE25"/>
      <c r="JSF25"/>
      <c r="JSG25"/>
      <c r="JSH25"/>
      <c r="JSI25"/>
      <c r="JSJ25"/>
      <c r="JSK25"/>
      <c r="JSL25"/>
      <c r="JSM25"/>
      <c r="JSN25"/>
      <c r="JSO25"/>
      <c r="JSP25"/>
      <c r="JSQ25"/>
      <c r="JSR25"/>
      <c r="JSS25"/>
      <c r="JST25"/>
      <c r="JSU25"/>
      <c r="JSV25"/>
      <c r="JSW25"/>
      <c r="JSX25"/>
      <c r="JSY25"/>
      <c r="JSZ25"/>
      <c r="JTA25"/>
      <c r="JTB25"/>
      <c r="JTC25"/>
      <c r="JTD25"/>
      <c r="JTE25"/>
      <c r="JTF25"/>
      <c r="JTG25"/>
      <c r="JTH25"/>
      <c r="JTI25"/>
      <c r="JTJ25"/>
      <c r="JTK25"/>
      <c r="JTL25"/>
      <c r="JTM25"/>
      <c r="JTN25"/>
      <c r="JTO25"/>
      <c r="JTP25"/>
      <c r="JTQ25"/>
      <c r="JTR25"/>
      <c r="JTS25"/>
      <c r="JTT25"/>
      <c r="JTU25"/>
      <c r="JTV25"/>
      <c r="JTW25"/>
      <c r="JTX25"/>
      <c r="JTY25"/>
      <c r="JTZ25"/>
      <c r="JUA25"/>
      <c r="JUB25"/>
      <c r="JUC25"/>
      <c r="JUD25"/>
      <c r="JUE25"/>
      <c r="JUF25"/>
      <c r="JUG25"/>
      <c r="JUH25"/>
      <c r="JUI25"/>
      <c r="JUJ25"/>
      <c r="JUK25"/>
      <c r="JUL25"/>
      <c r="JUM25"/>
      <c r="JUN25"/>
      <c r="JUO25"/>
      <c r="JUP25"/>
      <c r="JUQ25"/>
      <c r="JUR25"/>
      <c r="JUS25"/>
      <c r="JUT25"/>
      <c r="JUU25"/>
      <c r="JUV25"/>
      <c r="JUW25"/>
      <c r="JUX25"/>
      <c r="JUY25"/>
      <c r="JUZ25"/>
      <c r="JVA25"/>
      <c r="JVB25"/>
      <c r="JVC25"/>
      <c r="JVD25"/>
      <c r="JVE25"/>
      <c r="JVF25"/>
      <c r="JVG25"/>
      <c r="JVH25"/>
      <c r="JVI25"/>
      <c r="JVJ25"/>
      <c r="JVK25"/>
      <c r="JVL25"/>
      <c r="JVM25"/>
      <c r="JVN25"/>
      <c r="JVO25"/>
      <c r="JVP25"/>
      <c r="JVQ25"/>
      <c r="JVR25"/>
      <c r="JVS25"/>
      <c r="JVT25"/>
      <c r="JVU25"/>
      <c r="JVV25"/>
      <c r="JVW25"/>
      <c r="JVX25"/>
      <c r="JVY25"/>
      <c r="JVZ25"/>
      <c r="JWA25"/>
      <c r="JWB25"/>
      <c r="JWC25"/>
      <c r="JWD25"/>
      <c r="JWE25"/>
      <c r="JWF25"/>
      <c r="JWG25"/>
      <c r="JWH25"/>
      <c r="JWI25"/>
      <c r="JWJ25"/>
      <c r="JWK25"/>
      <c r="JWL25"/>
      <c r="JWM25"/>
      <c r="JWN25"/>
      <c r="JWO25"/>
      <c r="JWP25"/>
      <c r="JWQ25"/>
      <c r="JWR25"/>
      <c r="JWS25"/>
      <c r="JWT25"/>
      <c r="JWU25"/>
      <c r="JWV25"/>
      <c r="JWW25"/>
      <c r="JWX25"/>
      <c r="JWY25"/>
      <c r="JWZ25"/>
      <c r="JXA25"/>
      <c r="JXB25"/>
      <c r="JXC25"/>
      <c r="JXD25"/>
      <c r="JXE25"/>
      <c r="JXF25"/>
      <c r="JXG25"/>
      <c r="JXH25"/>
      <c r="JXI25"/>
      <c r="JXJ25"/>
      <c r="JXK25"/>
      <c r="JXL25"/>
      <c r="JXM25"/>
      <c r="JXN25"/>
      <c r="JXO25"/>
      <c r="JXP25"/>
      <c r="JXQ25"/>
      <c r="JXR25"/>
      <c r="JXS25"/>
      <c r="JXT25"/>
      <c r="JXU25"/>
      <c r="JXV25"/>
      <c r="JXW25"/>
      <c r="JXX25"/>
      <c r="JXY25"/>
      <c r="JXZ25"/>
      <c r="JYA25"/>
      <c r="JYB25"/>
      <c r="JYC25"/>
      <c r="JYD25"/>
      <c r="JYE25"/>
      <c r="JYF25"/>
      <c r="JYG25"/>
      <c r="JYH25"/>
      <c r="JYI25"/>
      <c r="JYJ25"/>
      <c r="JYK25"/>
      <c r="JYL25"/>
      <c r="JYM25"/>
      <c r="JYN25"/>
      <c r="JYO25"/>
      <c r="JYP25"/>
      <c r="JYQ25"/>
      <c r="JYR25"/>
      <c r="JYS25"/>
      <c r="JYT25"/>
      <c r="JYU25"/>
      <c r="JYV25"/>
      <c r="JYW25"/>
      <c r="JYX25"/>
      <c r="JYY25"/>
      <c r="JYZ25"/>
      <c r="JZA25"/>
      <c r="JZB25"/>
      <c r="JZC25"/>
      <c r="JZD25"/>
      <c r="JZE25"/>
      <c r="JZF25"/>
      <c r="JZG25"/>
      <c r="JZH25"/>
      <c r="JZI25"/>
      <c r="JZJ25"/>
      <c r="JZK25"/>
      <c r="JZL25"/>
      <c r="JZM25"/>
      <c r="JZN25"/>
      <c r="JZO25"/>
      <c r="JZP25"/>
      <c r="JZQ25"/>
      <c r="JZR25"/>
      <c r="JZS25"/>
      <c r="JZT25"/>
      <c r="JZU25"/>
      <c r="JZV25"/>
      <c r="JZW25"/>
      <c r="JZX25"/>
      <c r="JZY25"/>
      <c r="JZZ25"/>
      <c r="KAA25"/>
      <c r="KAB25"/>
      <c r="KAC25"/>
      <c r="KAD25"/>
      <c r="KAE25"/>
      <c r="KAF25"/>
      <c r="KAG25"/>
      <c r="KAH25"/>
      <c r="KAI25"/>
      <c r="KAJ25"/>
      <c r="KAK25"/>
      <c r="KAL25"/>
      <c r="KAM25"/>
      <c r="KAN25"/>
      <c r="KAO25"/>
      <c r="KAP25"/>
      <c r="KAQ25"/>
      <c r="KAR25"/>
      <c r="KAS25"/>
      <c r="KAT25"/>
      <c r="KAU25"/>
      <c r="KAV25"/>
      <c r="KAW25"/>
      <c r="KAX25"/>
      <c r="KAY25"/>
      <c r="KAZ25"/>
      <c r="KBA25"/>
      <c r="KBB25"/>
      <c r="KBC25"/>
      <c r="KBD25"/>
      <c r="KBE25"/>
      <c r="KBF25"/>
      <c r="KBG25"/>
      <c r="KBH25"/>
      <c r="KBI25"/>
      <c r="KBJ25"/>
      <c r="KBK25"/>
      <c r="KBL25"/>
      <c r="KBM25"/>
      <c r="KBN25"/>
      <c r="KBO25"/>
      <c r="KBP25"/>
      <c r="KBQ25"/>
      <c r="KBR25"/>
      <c r="KBS25"/>
      <c r="KBT25"/>
      <c r="KBU25"/>
      <c r="KBV25"/>
      <c r="KBW25"/>
      <c r="KBX25"/>
      <c r="KBY25"/>
      <c r="KBZ25"/>
      <c r="KCA25"/>
      <c r="KCB25"/>
      <c r="KCC25"/>
      <c r="KCD25"/>
      <c r="KCE25"/>
      <c r="KCF25"/>
      <c r="KCG25"/>
      <c r="KCH25"/>
      <c r="KCI25"/>
      <c r="KCJ25"/>
      <c r="KCK25"/>
      <c r="KCL25"/>
      <c r="KCM25"/>
      <c r="KCN25"/>
      <c r="KCO25"/>
      <c r="KCP25"/>
      <c r="KCQ25"/>
      <c r="KCR25"/>
      <c r="KCS25"/>
      <c r="KCT25"/>
      <c r="KCU25"/>
      <c r="KCV25"/>
      <c r="KCW25"/>
      <c r="KCX25"/>
      <c r="KCY25"/>
      <c r="KCZ25"/>
      <c r="KDA25"/>
      <c r="KDB25"/>
      <c r="KDC25"/>
      <c r="KDD25"/>
      <c r="KDE25"/>
      <c r="KDF25"/>
      <c r="KDG25"/>
      <c r="KDH25"/>
      <c r="KDI25"/>
      <c r="KDJ25"/>
      <c r="KDK25"/>
      <c r="KDL25"/>
      <c r="KDM25"/>
      <c r="KDN25"/>
      <c r="KDO25"/>
      <c r="KDP25"/>
      <c r="KDQ25"/>
      <c r="KDR25"/>
      <c r="KDS25"/>
      <c r="KDT25"/>
      <c r="KDU25"/>
      <c r="KDV25"/>
      <c r="KDW25"/>
      <c r="KDX25"/>
      <c r="KDY25"/>
      <c r="KDZ25"/>
      <c r="KEA25"/>
      <c r="KEB25"/>
      <c r="KEC25"/>
      <c r="KED25"/>
      <c r="KEE25"/>
      <c r="KEF25"/>
      <c r="KEG25"/>
      <c r="KEH25"/>
      <c r="KEI25"/>
      <c r="KEJ25"/>
      <c r="KEK25"/>
      <c r="KEL25"/>
      <c r="KEM25"/>
      <c r="KEN25"/>
      <c r="KEO25"/>
      <c r="KEP25"/>
      <c r="KEQ25"/>
      <c r="KER25"/>
      <c r="KES25"/>
      <c r="KET25"/>
      <c r="KEU25"/>
      <c r="KEV25"/>
      <c r="KEW25"/>
      <c r="KEX25"/>
      <c r="KEY25"/>
      <c r="KEZ25"/>
      <c r="KFA25"/>
      <c r="KFB25"/>
      <c r="KFC25"/>
      <c r="KFD25"/>
      <c r="KFE25"/>
      <c r="KFF25"/>
      <c r="KFG25"/>
      <c r="KFH25"/>
      <c r="KFI25"/>
      <c r="KFJ25"/>
      <c r="KFK25"/>
      <c r="KFL25"/>
      <c r="KFM25"/>
      <c r="KFN25"/>
      <c r="KFO25"/>
      <c r="KFP25"/>
      <c r="KFQ25"/>
      <c r="KFR25"/>
      <c r="KFS25"/>
      <c r="KFT25"/>
      <c r="KFU25"/>
      <c r="KFV25"/>
      <c r="KFW25"/>
      <c r="KFX25"/>
      <c r="KFY25"/>
      <c r="KFZ25"/>
      <c r="KGA25"/>
      <c r="KGB25"/>
      <c r="KGC25"/>
      <c r="KGD25"/>
      <c r="KGE25"/>
      <c r="KGF25"/>
      <c r="KGG25"/>
      <c r="KGH25"/>
      <c r="KGI25"/>
      <c r="KGJ25"/>
      <c r="KGK25"/>
      <c r="KGL25"/>
      <c r="KGM25"/>
      <c r="KGN25"/>
      <c r="KGO25"/>
      <c r="KGP25"/>
      <c r="KGQ25"/>
      <c r="KGR25"/>
      <c r="KGS25"/>
      <c r="KGT25"/>
      <c r="KGU25"/>
      <c r="KGV25"/>
      <c r="KGW25"/>
      <c r="KGX25"/>
      <c r="KGY25"/>
      <c r="KGZ25"/>
      <c r="KHA25"/>
      <c r="KHB25"/>
      <c r="KHC25"/>
      <c r="KHD25"/>
      <c r="KHE25"/>
      <c r="KHF25"/>
      <c r="KHG25"/>
      <c r="KHH25"/>
      <c r="KHI25"/>
      <c r="KHJ25"/>
      <c r="KHK25"/>
      <c r="KHL25"/>
      <c r="KHM25"/>
      <c r="KHN25"/>
      <c r="KHO25"/>
      <c r="KHP25"/>
      <c r="KHQ25"/>
      <c r="KHR25"/>
      <c r="KHS25"/>
      <c r="KHT25"/>
      <c r="KHU25"/>
      <c r="KHV25"/>
      <c r="KHW25"/>
      <c r="KHX25"/>
      <c r="KHY25"/>
      <c r="KHZ25"/>
      <c r="KIA25"/>
      <c r="KIB25"/>
      <c r="KIC25"/>
      <c r="KID25"/>
      <c r="KIE25"/>
      <c r="KIF25"/>
      <c r="KIG25"/>
      <c r="KIH25"/>
      <c r="KII25"/>
      <c r="KIJ25"/>
      <c r="KIK25"/>
      <c r="KIL25"/>
      <c r="KIM25"/>
      <c r="KIN25"/>
      <c r="KIO25"/>
      <c r="KIP25"/>
      <c r="KIQ25"/>
      <c r="KIR25"/>
      <c r="KIS25"/>
      <c r="KIT25"/>
      <c r="KIU25"/>
      <c r="KIV25"/>
      <c r="KIW25"/>
      <c r="KIX25"/>
      <c r="KIY25"/>
      <c r="KIZ25"/>
      <c r="KJA25"/>
      <c r="KJB25"/>
      <c r="KJC25"/>
      <c r="KJD25"/>
      <c r="KJE25"/>
      <c r="KJF25"/>
      <c r="KJG25"/>
      <c r="KJH25"/>
      <c r="KJI25"/>
      <c r="KJJ25"/>
      <c r="KJK25"/>
      <c r="KJL25"/>
      <c r="KJM25"/>
      <c r="KJN25"/>
      <c r="KJO25"/>
      <c r="KJP25"/>
      <c r="KJQ25"/>
      <c r="KJR25"/>
      <c r="KJS25"/>
      <c r="KJT25"/>
      <c r="KJU25"/>
      <c r="KJV25"/>
      <c r="KJW25"/>
      <c r="KJX25"/>
      <c r="KJY25"/>
      <c r="KJZ25"/>
      <c r="KKA25"/>
      <c r="KKB25"/>
      <c r="KKC25"/>
      <c r="KKD25"/>
      <c r="KKE25"/>
      <c r="KKF25"/>
      <c r="KKG25"/>
      <c r="KKH25"/>
      <c r="KKI25"/>
      <c r="KKJ25"/>
      <c r="KKK25"/>
      <c r="KKL25"/>
      <c r="KKM25"/>
      <c r="KKN25"/>
      <c r="KKO25"/>
      <c r="KKP25"/>
      <c r="KKQ25"/>
      <c r="KKR25"/>
      <c r="KKS25"/>
      <c r="KKT25"/>
      <c r="KKU25"/>
      <c r="KKV25"/>
      <c r="KKW25"/>
      <c r="KKX25"/>
      <c r="KKY25"/>
      <c r="KKZ25"/>
      <c r="KLA25"/>
      <c r="KLB25"/>
      <c r="KLC25"/>
      <c r="KLD25"/>
      <c r="KLE25"/>
      <c r="KLF25"/>
      <c r="KLG25"/>
      <c r="KLH25"/>
      <c r="KLI25"/>
      <c r="KLJ25"/>
      <c r="KLK25"/>
      <c r="KLL25"/>
      <c r="KLM25"/>
      <c r="KLN25"/>
      <c r="KLO25"/>
      <c r="KLP25"/>
      <c r="KLQ25"/>
      <c r="KLR25"/>
      <c r="KLS25"/>
      <c r="KLT25"/>
      <c r="KLU25"/>
      <c r="KLV25"/>
      <c r="KLW25"/>
      <c r="KLX25"/>
      <c r="KLY25"/>
      <c r="KLZ25"/>
      <c r="KMA25"/>
      <c r="KMB25"/>
      <c r="KMC25"/>
      <c r="KMD25"/>
      <c r="KME25"/>
      <c r="KMF25"/>
      <c r="KMG25"/>
      <c r="KMH25"/>
      <c r="KMI25"/>
      <c r="KMJ25"/>
      <c r="KMK25"/>
      <c r="KML25"/>
      <c r="KMM25"/>
      <c r="KMN25"/>
      <c r="KMO25"/>
      <c r="KMP25"/>
      <c r="KMQ25"/>
      <c r="KMR25"/>
      <c r="KMS25"/>
      <c r="KMT25"/>
      <c r="KMU25"/>
      <c r="KMV25"/>
      <c r="KMW25"/>
      <c r="KMX25"/>
      <c r="KMY25"/>
      <c r="KMZ25"/>
      <c r="KNA25"/>
      <c r="KNB25"/>
      <c r="KNC25"/>
      <c r="KND25"/>
      <c r="KNE25"/>
      <c r="KNF25"/>
      <c r="KNG25"/>
      <c r="KNH25"/>
      <c r="KNI25"/>
      <c r="KNJ25"/>
      <c r="KNK25"/>
      <c r="KNL25"/>
      <c r="KNM25"/>
      <c r="KNN25"/>
      <c r="KNO25"/>
      <c r="KNP25"/>
      <c r="KNQ25"/>
      <c r="KNR25"/>
      <c r="KNS25"/>
      <c r="KNT25"/>
      <c r="KNU25"/>
      <c r="KNV25"/>
      <c r="KNW25"/>
      <c r="KNX25"/>
      <c r="KNY25"/>
      <c r="KNZ25"/>
      <c r="KOA25"/>
      <c r="KOB25"/>
      <c r="KOC25"/>
      <c r="KOD25"/>
      <c r="KOE25"/>
      <c r="KOF25"/>
      <c r="KOG25"/>
      <c r="KOH25"/>
      <c r="KOI25"/>
      <c r="KOJ25"/>
      <c r="KOK25"/>
      <c r="KOL25"/>
      <c r="KOM25"/>
      <c r="KON25"/>
      <c r="KOO25"/>
      <c r="KOP25"/>
      <c r="KOQ25"/>
      <c r="KOR25"/>
      <c r="KOS25"/>
      <c r="KOT25"/>
      <c r="KOU25"/>
      <c r="KOV25"/>
      <c r="KOW25"/>
      <c r="KOX25"/>
      <c r="KOY25"/>
      <c r="KOZ25"/>
      <c r="KPA25"/>
      <c r="KPB25"/>
      <c r="KPC25"/>
      <c r="KPD25"/>
      <c r="KPE25"/>
      <c r="KPF25"/>
      <c r="KPG25"/>
      <c r="KPH25"/>
      <c r="KPI25"/>
      <c r="KPJ25"/>
      <c r="KPK25"/>
      <c r="KPL25"/>
      <c r="KPM25"/>
      <c r="KPN25"/>
      <c r="KPO25"/>
      <c r="KPP25"/>
      <c r="KPQ25"/>
      <c r="KPR25"/>
      <c r="KPS25"/>
      <c r="KPT25"/>
      <c r="KPU25"/>
      <c r="KPV25"/>
      <c r="KPW25"/>
      <c r="KPX25"/>
      <c r="KPY25"/>
      <c r="KPZ25"/>
      <c r="KQA25"/>
      <c r="KQB25"/>
      <c r="KQC25"/>
      <c r="KQD25"/>
      <c r="KQE25"/>
      <c r="KQF25"/>
      <c r="KQG25"/>
      <c r="KQH25"/>
      <c r="KQI25"/>
      <c r="KQJ25"/>
      <c r="KQK25"/>
      <c r="KQL25"/>
      <c r="KQM25"/>
      <c r="KQN25"/>
      <c r="KQO25"/>
      <c r="KQP25"/>
      <c r="KQQ25"/>
      <c r="KQR25"/>
      <c r="KQS25"/>
      <c r="KQT25"/>
      <c r="KQU25"/>
      <c r="KQV25"/>
      <c r="KQW25"/>
      <c r="KQX25"/>
      <c r="KQY25"/>
      <c r="KQZ25"/>
      <c r="KRA25"/>
      <c r="KRB25"/>
      <c r="KRC25"/>
      <c r="KRD25"/>
      <c r="KRE25"/>
      <c r="KRF25"/>
      <c r="KRG25"/>
      <c r="KRH25"/>
      <c r="KRI25"/>
      <c r="KRJ25"/>
      <c r="KRK25"/>
      <c r="KRL25"/>
      <c r="KRM25"/>
      <c r="KRN25"/>
      <c r="KRO25"/>
      <c r="KRP25"/>
      <c r="KRQ25"/>
      <c r="KRR25"/>
      <c r="KRS25"/>
      <c r="KRT25"/>
      <c r="KRU25"/>
      <c r="KRV25"/>
      <c r="KRW25"/>
      <c r="KRX25"/>
      <c r="KRY25"/>
      <c r="KRZ25"/>
      <c r="KSA25"/>
      <c r="KSB25"/>
      <c r="KSC25"/>
      <c r="KSD25"/>
      <c r="KSE25"/>
      <c r="KSF25"/>
      <c r="KSG25"/>
      <c r="KSH25"/>
      <c r="KSI25"/>
      <c r="KSJ25"/>
      <c r="KSK25"/>
      <c r="KSL25"/>
      <c r="KSM25"/>
      <c r="KSN25"/>
      <c r="KSO25"/>
      <c r="KSP25"/>
      <c r="KSQ25"/>
      <c r="KSR25"/>
      <c r="KSS25"/>
      <c r="KST25"/>
      <c r="KSU25"/>
      <c r="KSV25"/>
      <c r="KSW25"/>
      <c r="KSX25"/>
      <c r="KSY25"/>
      <c r="KSZ25"/>
      <c r="KTA25"/>
      <c r="KTB25"/>
      <c r="KTC25"/>
      <c r="KTD25"/>
      <c r="KTE25"/>
      <c r="KTF25"/>
      <c r="KTG25"/>
      <c r="KTH25"/>
      <c r="KTI25"/>
      <c r="KTJ25"/>
      <c r="KTK25"/>
      <c r="KTL25"/>
      <c r="KTM25"/>
      <c r="KTN25"/>
      <c r="KTO25"/>
      <c r="KTP25"/>
      <c r="KTQ25"/>
      <c r="KTR25"/>
      <c r="KTS25"/>
      <c r="KTT25"/>
      <c r="KTU25"/>
      <c r="KTV25"/>
      <c r="KTW25"/>
      <c r="KTX25"/>
      <c r="KTY25"/>
      <c r="KTZ25"/>
      <c r="KUA25"/>
      <c r="KUB25"/>
      <c r="KUC25"/>
      <c r="KUD25"/>
      <c r="KUE25"/>
      <c r="KUF25"/>
      <c r="KUG25"/>
      <c r="KUH25"/>
      <c r="KUI25"/>
      <c r="KUJ25"/>
      <c r="KUK25"/>
      <c r="KUL25"/>
      <c r="KUM25"/>
      <c r="KUN25"/>
      <c r="KUO25"/>
      <c r="KUP25"/>
      <c r="KUQ25"/>
      <c r="KUR25"/>
      <c r="KUS25"/>
      <c r="KUT25"/>
      <c r="KUU25"/>
      <c r="KUV25"/>
      <c r="KUW25"/>
      <c r="KUX25"/>
      <c r="KUY25"/>
      <c r="KUZ25"/>
      <c r="KVA25"/>
      <c r="KVB25"/>
      <c r="KVC25"/>
      <c r="KVD25"/>
      <c r="KVE25"/>
      <c r="KVF25"/>
      <c r="KVG25"/>
      <c r="KVH25"/>
      <c r="KVI25"/>
      <c r="KVJ25"/>
      <c r="KVK25"/>
      <c r="KVL25"/>
      <c r="KVM25"/>
      <c r="KVN25"/>
      <c r="KVO25"/>
      <c r="KVP25"/>
      <c r="KVQ25"/>
      <c r="KVR25"/>
      <c r="KVS25"/>
      <c r="KVT25"/>
      <c r="KVU25"/>
      <c r="KVV25"/>
      <c r="KVW25"/>
      <c r="KVX25"/>
      <c r="KVY25"/>
      <c r="KVZ25"/>
      <c r="KWA25"/>
      <c r="KWB25"/>
      <c r="KWC25"/>
      <c r="KWD25"/>
      <c r="KWE25"/>
      <c r="KWF25"/>
      <c r="KWG25"/>
      <c r="KWH25"/>
      <c r="KWI25"/>
      <c r="KWJ25"/>
      <c r="KWK25"/>
      <c r="KWL25"/>
      <c r="KWM25"/>
      <c r="KWN25"/>
      <c r="KWO25"/>
      <c r="KWP25"/>
      <c r="KWQ25"/>
      <c r="KWR25"/>
      <c r="KWS25"/>
      <c r="KWT25"/>
      <c r="KWU25"/>
      <c r="KWV25"/>
      <c r="KWW25"/>
      <c r="KWX25"/>
      <c r="KWY25"/>
      <c r="KWZ25"/>
      <c r="KXA25"/>
      <c r="KXB25"/>
      <c r="KXC25"/>
      <c r="KXD25"/>
      <c r="KXE25"/>
      <c r="KXF25"/>
      <c r="KXG25"/>
      <c r="KXH25"/>
      <c r="KXI25"/>
      <c r="KXJ25"/>
      <c r="KXK25"/>
      <c r="KXL25"/>
      <c r="KXM25"/>
      <c r="KXN25"/>
      <c r="KXO25"/>
      <c r="KXP25"/>
      <c r="KXQ25"/>
      <c r="KXR25"/>
      <c r="KXS25"/>
      <c r="KXT25"/>
      <c r="KXU25"/>
      <c r="KXV25"/>
      <c r="KXW25"/>
      <c r="KXX25"/>
      <c r="KXY25"/>
      <c r="KXZ25"/>
      <c r="KYA25"/>
      <c r="KYB25"/>
      <c r="KYC25"/>
      <c r="KYD25"/>
      <c r="KYE25"/>
      <c r="KYF25"/>
      <c r="KYG25"/>
      <c r="KYH25"/>
      <c r="KYI25"/>
      <c r="KYJ25"/>
      <c r="KYK25"/>
      <c r="KYL25"/>
      <c r="KYM25"/>
      <c r="KYN25"/>
      <c r="KYO25"/>
      <c r="KYP25"/>
      <c r="KYQ25"/>
      <c r="KYR25"/>
      <c r="KYS25"/>
      <c r="KYT25"/>
      <c r="KYU25"/>
      <c r="KYV25"/>
      <c r="KYW25"/>
      <c r="KYX25"/>
      <c r="KYY25"/>
      <c r="KYZ25"/>
      <c r="KZA25"/>
      <c r="KZB25"/>
      <c r="KZC25"/>
      <c r="KZD25"/>
      <c r="KZE25"/>
      <c r="KZF25"/>
      <c r="KZG25"/>
      <c r="KZH25"/>
      <c r="KZI25"/>
      <c r="KZJ25"/>
      <c r="KZK25"/>
      <c r="KZL25"/>
      <c r="KZM25"/>
      <c r="KZN25"/>
      <c r="KZO25"/>
      <c r="KZP25"/>
      <c r="KZQ25"/>
      <c r="KZR25"/>
      <c r="KZS25"/>
      <c r="KZT25"/>
      <c r="KZU25"/>
      <c r="KZV25"/>
      <c r="KZW25"/>
      <c r="KZX25"/>
      <c r="KZY25"/>
      <c r="KZZ25"/>
      <c r="LAA25"/>
      <c r="LAB25"/>
      <c r="LAC25"/>
      <c r="LAD25"/>
      <c r="LAE25"/>
      <c r="LAF25"/>
      <c r="LAG25"/>
      <c r="LAH25"/>
      <c r="LAI25"/>
      <c r="LAJ25"/>
      <c r="LAK25"/>
      <c r="LAL25"/>
      <c r="LAM25"/>
      <c r="LAN25"/>
      <c r="LAO25"/>
      <c r="LAP25"/>
      <c r="LAQ25"/>
      <c r="LAR25"/>
      <c r="LAS25"/>
      <c r="LAT25"/>
      <c r="LAU25"/>
      <c r="LAV25"/>
      <c r="LAW25"/>
      <c r="LAX25"/>
      <c r="LAY25"/>
      <c r="LAZ25"/>
      <c r="LBA25"/>
      <c r="LBB25"/>
      <c r="LBC25"/>
      <c r="LBD25"/>
      <c r="LBE25"/>
      <c r="LBF25"/>
      <c r="LBG25"/>
      <c r="LBH25"/>
      <c r="LBI25"/>
      <c r="LBJ25"/>
      <c r="LBK25"/>
      <c r="LBL25"/>
      <c r="LBM25"/>
      <c r="LBN25"/>
      <c r="LBO25"/>
      <c r="LBP25"/>
      <c r="LBQ25"/>
      <c r="LBR25"/>
      <c r="LBS25"/>
      <c r="LBT25"/>
      <c r="LBU25"/>
      <c r="LBV25"/>
      <c r="LBW25"/>
      <c r="LBX25"/>
      <c r="LBY25"/>
      <c r="LBZ25"/>
      <c r="LCA25"/>
      <c r="LCB25"/>
      <c r="LCC25"/>
      <c r="LCD25"/>
      <c r="LCE25"/>
      <c r="LCF25"/>
      <c r="LCG25"/>
      <c r="LCH25"/>
      <c r="LCI25"/>
      <c r="LCJ25"/>
      <c r="LCK25"/>
      <c r="LCL25"/>
      <c r="LCM25"/>
      <c r="LCN25"/>
      <c r="LCO25"/>
      <c r="LCP25"/>
      <c r="LCQ25"/>
      <c r="LCR25"/>
      <c r="LCS25"/>
      <c r="LCT25"/>
      <c r="LCU25"/>
      <c r="LCV25"/>
      <c r="LCW25"/>
      <c r="LCX25"/>
      <c r="LCY25"/>
      <c r="LCZ25"/>
      <c r="LDA25"/>
      <c r="LDB25"/>
      <c r="LDC25"/>
      <c r="LDD25"/>
      <c r="LDE25"/>
      <c r="LDF25"/>
      <c r="LDG25"/>
      <c r="LDH25"/>
      <c r="LDI25"/>
      <c r="LDJ25"/>
      <c r="LDK25"/>
      <c r="LDL25"/>
      <c r="LDM25"/>
      <c r="LDN25"/>
      <c r="LDO25"/>
      <c r="LDP25"/>
      <c r="LDQ25"/>
      <c r="LDR25"/>
      <c r="LDS25"/>
      <c r="LDT25"/>
      <c r="LDU25"/>
      <c r="LDV25"/>
      <c r="LDW25"/>
      <c r="LDX25"/>
      <c r="LDY25"/>
      <c r="LDZ25"/>
      <c r="LEA25"/>
      <c r="LEB25"/>
      <c r="LEC25"/>
      <c r="LED25"/>
      <c r="LEE25"/>
      <c r="LEF25"/>
      <c r="LEG25"/>
      <c r="LEH25"/>
      <c r="LEI25"/>
      <c r="LEJ25"/>
      <c r="LEK25"/>
      <c r="LEL25"/>
      <c r="LEM25"/>
      <c r="LEN25"/>
      <c r="LEO25"/>
      <c r="LEP25"/>
      <c r="LEQ25"/>
      <c r="LER25"/>
      <c r="LES25"/>
      <c r="LET25"/>
      <c r="LEU25"/>
      <c r="LEV25"/>
      <c r="LEW25"/>
      <c r="LEX25"/>
      <c r="LEY25"/>
      <c r="LEZ25"/>
      <c r="LFA25"/>
      <c r="LFB25"/>
      <c r="LFC25"/>
      <c r="LFD25"/>
      <c r="LFE25"/>
      <c r="LFF25"/>
      <c r="LFG25"/>
      <c r="LFH25"/>
      <c r="LFI25"/>
      <c r="LFJ25"/>
      <c r="LFK25"/>
      <c r="LFL25"/>
      <c r="LFM25"/>
      <c r="LFN25"/>
      <c r="LFO25"/>
      <c r="LFP25"/>
      <c r="LFQ25"/>
      <c r="LFR25"/>
      <c r="LFS25"/>
      <c r="LFT25"/>
      <c r="LFU25"/>
      <c r="LFV25"/>
      <c r="LFW25"/>
      <c r="LFX25"/>
      <c r="LFY25"/>
      <c r="LFZ25"/>
      <c r="LGA25"/>
      <c r="LGB25"/>
      <c r="LGC25"/>
      <c r="LGD25"/>
      <c r="LGE25"/>
      <c r="LGF25"/>
      <c r="LGG25"/>
      <c r="LGH25"/>
      <c r="LGI25"/>
      <c r="LGJ25"/>
      <c r="LGK25"/>
      <c r="LGL25"/>
      <c r="LGM25"/>
      <c r="LGN25"/>
      <c r="LGO25"/>
      <c r="LGP25"/>
      <c r="LGQ25"/>
      <c r="LGR25"/>
      <c r="LGS25"/>
      <c r="LGT25"/>
      <c r="LGU25"/>
      <c r="LGV25"/>
      <c r="LGW25"/>
      <c r="LGX25"/>
      <c r="LGY25"/>
      <c r="LGZ25"/>
      <c r="LHA25"/>
      <c r="LHB25"/>
      <c r="LHC25"/>
      <c r="LHD25"/>
      <c r="LHE25"/>
      <c r="LHF25"/>
      <c r="LHG25"/>
      <c r="LHH25"/>
      <c r="LHI25"/>
      <c r="LHJ25"/>
      <c r="LHK25"/>
      <c r="LHL25"/>
      <c r="LHM25"/>
      <c r="LHN25"/>
      <c r="LHO25"/>
      <c r="LHP25"/>
      <c r="LHQ25"/>
      <c r="LHR25"/>
      <c r="LHS25"/>
      <c r="LHT25"/>
      <c r="LHU25"/>
      <c r="LHV25"/>
      <c r="LHW25"/>
      <c r="LHX25"/>
      <c r="LHY25"/>
      <c r="LHZ25"/>
      <c r="LIA25"/>
      <c r="LIB25"/>
      <c r="LIC25"/>
      <c r="LID25"/>
      <c r="LIE25"/>
      <c r="LIF25"/>
      <c r="LIG25"/>
      <c r="LIH25"/>
      <c r="LII25"/>
      <c r="LIJ25"/>
      <c r="LIK25"/>
      <c r="LIL25"/>
      <c r="LIM25"/>
      <c r="LIN25"/>
      <c r="LIO25"/>
      <c r="LIP25"/>
      <c r="LIQ25"/>
      <c r="LIR25"/>
      <c r="LIS25"/>
      <c r="LIT25"/>
      <c r="LIU25"/>
      <c r="LIV25"/>
      <c r="LIW25"/>
      <c r="LIX25"/>
      <c r="LIY25"/>
      <c r="LIZ25"/>
      <c r="LJA25"/>
      <c r="LJB25"/>
      <c r="LJC25"/>
      <c r="LJD25"/>
      <c r="LJE25"/>
      <c r="LJF25"/>
      <c r="LJG25"/>
      <c r="LJH25"/>
      <c r="LJI25"/>
      <c r="LJJ25"/>
      <c r="LJK25"/>
      <c r="LJL25"/>
      <c r="LJM25"/>
      <c r="LJN25"/>
      <c r="LJO25"/>
      <c r="LJP25"/>
      <c r="LJQ25"/>
      <c r="LJR25"/>
      <c r="LJS25"/>
      <c r="LJT25"/>
      <c r="LJU25"/>
      <c r="LJV25"/>
      <c r="LJW25"/>
      <c r="LJX25"/>
      <c r="LJY25"/>
      <c r="LJZ25"/>
      <c r="LKA25"/>
      <c r="LKB25"/>
      <c r="LKC25"/>
      <c r="LKD25"/>
      <c r="LKE25"/>
      <c r="LKF25"/>
      <c r="LKG25"/>
      <c r="LKH25"/>
      <c r="LKI25"/>
      <c r="LKJ25"/>
      <c r="LKK25"/>
      <c r="LKL25"/>
      <c r="LKM25"/>
      <c r="LKN25"/>
      <c r="LKO25"/>
      <c r="LKP25"/>
      <c r="LKQ25"/>
      <c r="LKR25"/>
      <c r="LKS25"/>
      <c r="LKT25"/>
      <c r="LKU25"/>
      <c r="LKV25"/>
      <c r="LKW25"/>
      <c r="LKX25"/>
      <c r="LKY25"/>
      <c r="LKZ25"/>
      <c r="LLA25"/>
      <c r="LLB25"/>
      <c r="LLC25"/>
      <c r="LLD25"/>
      <c r="LLE25"/>
      <c r="LLF25"/>
      <c r="LLG25"/>
      <c r="LLH25"/>
      <c r="LLI25"/>
      <c r="LLJ25"/>
      <c r="LLK25"/>
      <c r="LLL25"/>
      <c r="LLM25"/>
      <c r="LLN25"/>
      <c r="LLO25"/>
      <c r="LLP25"/>
      <c r="LLQ25"/>
      <c r="LLR25"/>
      <c r="LLS25"/>
      <c r="LLT25"/>
      <c r="LLU25"/>
      <c r="LLV25"/>
      <c r="LLW25"/>
      <c r="LLX25"/>
      <c r="LLY25"/>
      <c r="LLZ25"/>
      <c r="LMA25"/>
      <c r="LMB25"/>
      <c r="LMC25"/>
      <c r="LMD25"/>
      <c r="LME25"/>
      <c r="LMF25"/>
      <c r="LMG25"/>
      <c r="LMH25"/>
      <c r="LMI25"/>
      <c r="LMJ25"/>
      <c r="LMK25"/>
      <c r="LML25"/>
      <c r="LMM25"/>
      <c r="LMN25"/>
      <c r="LMO25"/>
      <c r="LMP25"/>
      <c r="LMQ25"/>
      <c r="LMR25"/>
      <c r="LMS25"/>
      <c r="LMT25"/>
      <c r="LMU25"/>
      <c r="LMV25"/>
      <c r="LMW25"/>
      <c r="LMX25"/>
      <c r="LMY25"/>
      <c r="LMZ25"/>
      <c r="LNA25"/>
      <c r="LNB25"/>
      <c r="LNC25"/>
      <c r="LND25"/>
      <c r="LNE25"/>
      <c r="LNF25"/>
      <c r="LNG25"/>
      <c r="LNH25"/>
      <c r="LNI25"/>
      <c r="LNJ25"/>
      <c r="LNK25"/>
      <c r="LNL25"/>
      <c r="LNM25"/>
      <c r="LNN25"/>
      <c r="LNO25"/>
      <c r="LNP25"/>
      <c r="LNQ25"/>
      <c r="LNR25"/>
      <c r="LNS25"/>
      <c r="LNT25"/>
      <c r="LNU25"/>
      <c r="LNV25"/>
      <c r="LNW25"/>
      <c r="LNX25"/>
      <c r="LNY25"/>
      <c r="LNZ25"/>
      <c r="LOA25"/>
      <c r="LOB25"/>
      <c r="LOC25"/>
      <c r="LOD25"/>
      <c r="LOE25"/>
      <c r="LOF25"/>
      <c r="LOG25"/>
      <c r="LOH25"/>
      <c r="LOI25"/>
      <c r="LOJ25"/>
      <c r="LOK25"/>
      <c r="LOL25"/>
      <c r="LOM25"/>
      <c r="LON25"/>
      <c r="LOO25"/>
      <c r="LOP25"/>
      <c r="LOQ25"/>
      <c r="LOR25"/>
      <c r="LOS25"/>
      <c r="LOT25"/>
      <c r="LOU25"/>
      <c r="LOV25"/>
      <c r="LOW25"/>
      <c r="LOX25"/>
      <c r="LOY25"/>
      <c r="LOZ25"/>
      <c r="LPA25"/>
      <c r="LPB25"/>
      <c r="LPC25"/>
      <c r="LPD25"/>
      <c r="LPE25"/>
      <c r="LPF25"/>
      <c r="LPG25"/>
      <c r="LPH25"/>
      <c r="LPI25"/>
      <c r="LPJ25"/>
      <c r="LPK25"/>
      <c r="LPL25"/>
      <c r="LPM25"/>
      <c r="LPN25"/>
      <c r="LPO25"/>
      <c r="LPP25"/>
      <c r="LPQ25"/>
      <c r="LPR25"/>
      <c r="LPS25"/>
      <c r="LPT25"/>
      <c r="LPU25"/>
      <c r="LPV25"/>
      <c r="LPW25"/>
      <c r="LPX25"/>
      <c r="LPY25"/>
      <c r="LPZ25"/>
      <c r="LQA25"/>
      <c r="LQB25"/>
      <c r="LQC25"/>
      <c r="LQD25"/>
      <c r="LQE25"/>
      <c r="LQF25"/>
      <c r="LQG25"/>
      <c r="LQH25"/>
      <c r="LQI25"/>
      <c r="LQJ25"/>
      <c r="LQK25"/>
      <c r="LQL25"/>
      <c r="LQM25"/>
      <c r="LQN25"/>
      <c r="LQO25"/>
      <c r="LQP25"/>
      <c r="LQQ25"/>
      <c r="LQR25"/>
      <c r="LQS25"/>
      <c r="LQT25"/>
      <c r="LQU25"/>
      <c r="LQV25"/>
      <c r="LQW25"/>
      <c r="LQX25"/>
      <c r="LQY25"/>
      <c r="LQZ25"/>
      <c r="LRA25"/>
      <c r="LRB25"/>
      <c r="LRC25"/>
      <c r="LRD25"/>
      <c r="LRE25"/>
      <c r="LRF25"/>
      <c r="LRG25"/>
      <c r="LRH25"/>
      <c r="LRI25"/>
      <c r="LRJ25"/>
      <c r="LRK25"/>
      <c r="LRL25"/>
      <c r="LRM25"/>
      <c r="LRN25"/>
      <c r="LRO25"/>
      <c r="LRP25"/>
      <c r="LRQ25"/>
      <c r="LRR25"/>
      <c r="LRS25"/>
      <c r="LRT25"/>
      <c r="LRU25"/>
      <c r="LRV25"/>
      <c r="LRW25"/>
      <c r="LRX25"/>
      <c r="LRY25"/>
      <c r="LRZ25"/>
      <c r="LSA25"/>
      <c r="LSB25"/>
      <c r="LSC25"/>
      <c r="LSD25"/>
      <c r="LSE25"/>
      <c r="LSF25"/>
      <c r="LSG25"/>
      <c r="LSH25"/>
      <c r="LSI25"/>
      <c r="LSJ25"/>
      <c r="LSK25"/>
      <c r="LSL25"/>
      <c r="LSM25"/>
      <c r="LSN25"/>
      <c r="LSO25"/>
      <c r="LSP25"/>
      <c r="LSQ25"/>
      <c r="LSR25"/>
      <c r="LSS25"/>
      <c r="LST25"/>
      <c r="LSU25"/>
      <c r="LSV25"/>
      <c r="LSW25"/>
      <c r="LSX25"/>
      <c r="LSY25"/>
      <c r="LSZ25"/>
      <c r="LTA25"/>
      <c r="LTB25"/>
      <c r="LTC25"/>
      <c r="LTD25"/>
      <c r="LTE25"/>
      <c r="LTF25"/>
      <c r="LTG25"/>
      <c r="LTH25"/>
      <c r="LTI25"/>
      <c r="LTJ25"/>
      <c r="LTK25"/>
      <c r="LTL25"/>
      <c r="LTM25"/>
      <c r="LTN25"/>
      <c r="LTO25"/>
      <c r="LTP25"/>
      <c r="LTQ25"/>
      <c r="LTR25"/>
      <c r="LTS25"/>
      <c r="LTT25"/>
      <c r="LTU25"/>
      <c r="LTV25"/>
      <c r="LTW25"/>
      <c r="LTX25"/>
      <c r="LTY25"/>
      <c r="LTZ25"/>
      <c r="LUA25"/>
      <c r="LUB25"/>
      <c r="LUC25"/>
      <c r="LUD25"/>
      <c r="LUE25"/>
      <c r="LUF25"/>
      <c r="LUG25"/>
      <c r="LUH25"/>
      <c r="LUI25"/>
      <c r="LUJ25"/>
      <c r="LUK25"/>
      <c r="LUL25"/>
      <c r="LUM25"/>
      <c r="LUN25"/>
      <c r="LUO25"/>
      <c r="LUP25"/>
      <c r="LUQ25"/>
      <c r="LUR25"/>
      <c r="LUS25"/>
      <c r="LUT25"/>
      <c r="LUU25"/>
      <c r="LUV25"/>
      <c r="LUW25"/>
      <c r="LUX25"/>
      <c r="LUY25"/>
      <c r="LUZ25"/>
      <c r="LVA25"/>
      <c r="LVB25"/>
      <c r="LVC25"/>
      <c r="LVD25"/>
      <c r="LVE25"/>
      <c r="LVF25"/>
      <c r="LVG25"/>
      <c r="LVH25"/>
      <c r="LVI25"/>
      <c r="LVJ25"/>
      <c r="LVK25"/>
      <c r="LVL25"/>
      <c r="LVM25"/>
      <c r="LVN25"/>
      <c r="LVO25"/>
      <c r="LVP25"/>
      <c r="LVQ25"/>
      <c r="LVR25"/>
      <c r="LVS25"/>
      <c r="LVT25"/>
      <c r="LVU25"/>
      <c r="LVV25"/>
      <c r="LVW25"/>
      <c r="LVX25"/>
      <c r="LVY25"/>
      <c r="LVZ25"/>
      <c r="LWA25"/>
      <c r="LWB25"/>
      <c r="LWC25"/>
      <c r="LWD25"/>
      <c r="LWE25"/>
      <c r="LWF25"/>
      <c r="LWG25"/>
      <c r="LWH25"/>
      <c r="LWI25"/>
      <c r="LWJ25"/>
      <c r="LWK25"/>
      <c r="LWL25"/>
      <c r="LWM25"/>
      <c r="LWN25"/>
      <c r="LWO25"/>
      <c r="LWP25"/>
      <c r="LWQ25"/>
      <c r="LWR25"/>
      <c r="LWS25"/>
      <c r="LWT25"/>
      <c r="LWU25"/>
      <c r="LWV25"/>
      <c r="LWW25"/>
      <c r="LWX25"/>
      <c r="LWY25"/>
      <c r="LWZ25"/>
      <c r="LXA25"/>
      <c r="LXB25"/>
      <c r="LXC25"/>
      <c r="LXD25"/>
      <c r="LXE25"/>
      <c r="LXF25"/>
      <c r="LXG25"/>
      <c r="LXH25"/>
      <c r="LXI25"/>
      <c r="LXJ25"/>
      <c r="LXK25"/>
      <c r="LXL25"/>
      <c r="LXM25"/>
      <c r="LXN25"/>
      <c r="LXO25"/>
      <c r="LXP25"/>
      <c r="LXQ25"/>
      <c r="LXR25"/>
      <c r="LXS25"/>
      <c r="LXT25"/>
      <c r="LXU25"/>
      <c r="LXV25"/>
      <c r="LXW25"/>
      <c r="LXX25"/>
      <c r="LXY25"/>
      <c r="LXZ25"/>
      <c r="LYA25"/>
      <c r="LYB25"/>
      <c r="LYC25"/>
      <c r="LYD25"/>
      <c r="LYE25"/>
      <c r="LYF25"/>
      <c r="LYG25"/>
      <c r="LYH25"/>
      <c r="LYI25"/>
      <c r="LYJ25"/>
      <c r="LYK25"/>
      <c r="LYL25"/>
      <c r="LYM25"/>
      <c r="LYN25"/>
      <c r="LYO25"/>
      <c r="LYP25"/>
      <c r="LYQ25"/>
      <c r="LYR25"/>
      <c r="LYS25"/>
      <c r="LYT25"/>
      <c r="LYU25"/>
      <c r="LYV25"/>
      <c r="LYW25"/>
      <c r="LYX25"/>
      <c r="LYY25"/>
      <c r="LYZ25"/>
      <c r="LZA25"/>
      <c r="LZB25"/>
      <c r="LZC25"/>
      <c r="LZD25"/>
      <c r="LZE25"/>
      <c r="LZF25"/>
      <c r="LZG25"/>
      <c r="LZH25"/>
      <c r="LZI25"/>
      <c r="LZJ25"/>
      <c r="LZK25"/>
      <c r="LZL25"/>
      <c r="LZM25"/>
      <c r="LZN25"/>
      <c r="LZO25"/>
      <c r="LZP25"/>
      <c r="LZQ25"/>
      <c r="LZR25"/>
      <c r="LZS25"/>
      <c r="LZT25"/>
      <c r="LZU25"/>
      <c r="LZV25"/>
      <c r="LZW25"/>
      <c r="LZX25"/>
      <c r="LZY25"/>
      <c r="LZZ25"/>
      <c r="MAA25"/>
      <c r="MAB25"/>
      <c r="MAC25"/>
      <c r="MAD25"/>
      <c r="MAE25"/>
      <c r="MAF25"/>
      <c r="MAG25"/>
      <c r="MAH25"/>
      <c r="MAI25"/>
      <c r="MAJ25"/>
      <c r="MAK25"/>
      <c r="MAL25"/>
      <c r="MAM25"/>
      <c r="MAN25"/>
      <c r="MAO25"/>
      <c r="MAP25"/>
      <c r="MAQ25"/>
      <c r="MAR25"/>
      <c r="MAS25"/>
      <c r="MAT25"/>
      <c r="MAU25"/>
      <c r="MAV25"/>
      <c r="MAW25"/>
      <c r="MAX25"/>
      <c r="MAY25"/>
      <c r="MAZ25"/>
      <c r="MBA25"/>
      <c r="MBB25"/>
      <c r="MBC25"/>
      <c r="MBD25"/>
      <c r="MBE25"/>
      <c r="MBF25"/>
      <c r="MBG25"/>
      <c r="MBH25"/>
      <c r="MBI25"/>
      <c r="MBJ25"/>
      <c r="MBK25"/>
      <c r="MBL25"/>
      <c r="MBM25"/>
      <c r="MBN25"/>
      <c r="MBO25"/>
      <c r="MBP25"/>
      <c r="MBQ25"/>
      <c r="MBR25"/>
      <c r="MBS25"/>
      <c r="MBT25"/>
      <c r="MBU25"/>
      <c r="MBV25"/>
      <c r="MBW25"/>
      <c r="MBX25"/>
      <c r="MBY25"/>
      <c r="MBZ25"/>
      <c r="MCA25"/>
      <c r="MCB25"/>
      <c r="MCC25"/>
      <c r="MCD25"/>
      <c r="MCE25"/>
      <c r="MCF25"/>
      <c r="MCG25"/>
      <c r="MCH25"/>
      <c r="MCI25"/>
      <c r="MCJ25"/>
      <c r="MCK25"/>
      <c r="MCL25"/>
      <c r="MCM25"/>
      <c r="MCN25"/>
      <c r="MCO25"/>
      <c r="MCP25"/>
      <c r="MCQ25"/>
      <c r="MCR25"/>
      <c r="MCS25"/>
      <c r="MCT25"/>
      <c r="MCU25"/>
      <c r="MCV25"/>
      <c r="MCW25"/>
      <c r="MCX25"/>
      <c r="MCY25"/>
      <c r="MCZ25"/>
      <c r="MDA25"/>
      <c r="MDB25"/>
      <c r="MDC25"/>
      <c r="MDD25"/>
      <c r="MDE25"/>
      <c r="MDF25"/>
      <c r="MDG25"/>
      <c r="MDH25"/>
      <c r="MDI25"/>
      <c r="MDJ25"/>
      <c r="MDK25"/>
      <c r="MDL25"/>
      <c r="MDM25"/>
      <c r="MDN25"/>
      <c r="MDO25"/>
      <c r="MDP25"/>
      <c r="MDQ25"/>
      <c r="MDR25"/>
      <c r="MDS25"/>
      <c r="MDT25"/>
      <c r="MDU25"/>
      <c r="MDV25"/>
      <c r="MDW25"/>
      <c r="MDX25"/>
      <c r="MDY25"/>
      <c r="MDZ25"/>
      <c r="MEA25"/>
      <c r="MEB25"/>
      <c r="MEC25"/>
      <c r="MED25"/>
      <c r="MEE25"/>
      <c r="MEF25"/>
      <c r="MEG25"/>
      <c r="MEH25"/>
      <c r="MEI25"/>
      <c r="MEJ25"/>
      <c r="MEK25"/>
      <c r="MEL25"/>
      <c r="MEM25"/>
      <c r="MEN25"/>
      <c r="MEO25"/>
      <c r="MEP25"/>
      <c r="MEQ25"/>
      <c r="MER25"/>
      <c r="MES25"/>
      <c r="MET25"/>
      <c r="MEU25"/>
      <c r="MEV25"/>
      <c r="MEW25"/>
      <c r="MEX25"/>
      <c r="MEY25"/>
      <c r="MEZ25"/>
      <c r="MFA25"/>
      <c r="MFB25"/>
      <c r="MFC25"/>
      <c r="MFD25"/>
      <c r="MFE25"/>
      <c r="MFF25"/>
      <c r="MFG25"/>
      <c r="MFH25"/>
      <c r="MFI25"/>
      <c r="MFJ25"/>
      <c r="MFK25"/>
      <c r="MFL25"/>
      <c r="MFM25"/>
      <c r="MFN25"/>
      <c r="MFO25"/>
      <c r="MFP25"/>
      <c r="MFQ25"/>
      <c r="MFR25"/>
      <c r="MFS25"/>
      <c r="MFT25"/>
      <c r="MFU25"/>
      <c r="MFV25"/>
      <c r="MFW25"/>
      <c r="MFX25"/>
      <c r="MFY25"/>
      <c r="MFZ25"/>
      <c r="MGA25"/>
      <c r="MGB25"/>
      <c r="MGC25"/>
      <c r="MGD25"/>
      <c r="MGE25"/>
      <c r="MGF25"/>
      <c r="MGG25"/>
      <c r="MGH25"/>
      <c r="MGI25"/>
      <c r="MGJ25"/>
      <c r="MGK25"/>
      <c r="MGL25"/>
      <c r="MGM25"/>
      <c r="MGN25"/>
      <c r="MGO25"/>
      <c r="MGP25"/>
      <c r="MGQ25"/>
      <c r="MGR25"/>
      <c r="MGS25"/>
      <c r="MGT25"/>
      <c r="MGU25"/>
      <c r="MGV25"/>
      <c r="MGW25"/>
      <c r="MGX25"/>
      <c r="MGY25"/>
      <c r="MGZ25"/>
      <c r="MHA25"/>
      <c r="MHB25"/>
      <c r="MHC25"/>
      <c r="MHD25"/>
      <c r="MHE25"/>
      <c r="MHF25"/>
      <c r="MHG25"/>
      <c r="MHH25"/>
      <c r="MHI25"/>
      <c r="MHJ25"/>
      <c r="MHK25"/>
      <c r="MHL25"/>
      <c r="MHM25"/>
      <c r="MHN25"/>
      <c r="MHO25"/>
      <c r="MHP25"/>
      <c r="MHQ25"/>
      <c r="MHR25"/>
      <c r="MHS25"/>
      <c r="MHT25"/>
      <c r="MHU25"/>
      <c r="MHV25"/>
      <c r="MHW25"/>
      <c r="MHX25"/>
      <c r="MHY25"/>
      <c r="MHZ25"/>
      <c r="MIA25"/>
      <c r="MIB25"/>
      <c r="MIC25"/>
      <c r="MID25"/>
      <c r="MIE25"/>
      <c r="MIF25"/>
      <c r="MIG25"/>
      <c r="MIH25"/>
      <c r="MII25"/>
      <c r="MIJ25"/>
      <c r="MIK25"/>
      <c r="MIL25"/>
      <c r="MIM25"/>
      <c r="MIN25"/>
      <c r="MIO25"/>
      <c r="MIP25"/>
      <c r="MIQ25"/>
      <c r="MIR25"/>
      <c r="MIS25"/>
      <c r="MIT25"/>
      <c r="MIU25"/>
      <c r="MIV25"/>
      <c r="MIW25"/>
      <c r="MIX25"/>
      <c r="MIY25"/>
      <c r="MIZ25"/>
      <c r="MJA25"/>
      <c r="MJB25"/>
      <c r="MJC25"/>
      <c r="MJD25"/>
      <c r="MJE25"/>
      <c r="MJF25"/>
      <c r="MJG25"/>
      <c r="MJH25"/>
      <c r="MJI25"/>
      <c r="MJJ25"/>
      <c r="MJK25"/>
      <c r="MJL25"/>
      <c r="MJM25"/>
      <c r="MJN25"/>
      <c r="MJO25"/>
      <c r="MJP25"/>
      <c r="MJQ25"/>
      <c r="MJR25"/>
      <c r="MJS25"/>
      <c r="MJT25"/>
      <c r="MJU25"/>
      <c r="MJV25"/>
      <c r="MJW25"/>
      <c r="MJX25"/>
      <c r="MJY25"/>
      <c r="MJZ25"/>
      <c r="MKA25"/>
      <c r="MKB25"/>
      <c r="MKC25"/>
      <c r="MKD25"/>
      <c r="MKE25"/>
      <c r="MKF25"/>
      <c r="MKG25"/>
      <c r="MKH25"/>
      <c r="MKI25"/>
      <c r="MKJ25"/>
      <c r="MKK25"/>
      <c r="MKL25"/>
      <c r="MKM25"/>
      <c r="MKN25"/>
      <c r="MKO25"/>
      <c r="MKP25"/>
      <c r="MKQ25"/>
      <c r="MKR25"/>
      <c r="MKS25"/>
      <c r="MKT25"/>
      <c r="MKU25"/>
      <c r="MKV25"/>
      <c r="MKW25"/>
      <c r="MKX25"/>
      <c r="MKY25"/>
      <c r="MKZ25"/>
      <c r="MLA25"/>
      <c r="MLB25"/>
      <c r="MLC25"/>
      <c r="MLD25"/>
      <c r="MLE25"/>
      <c r="MLF25"/>
      <c r="MLG25"/>
      <c r="MLH25"/>
      <c r="MLI25"/>
      <c r="MLJ25"/>
      <c r="MLK25"/>
      <c r="MLL25"/>
      <c r="MLM25"/>
      <c r="MLN25"/>
      <c r="MLO25"/>
      <c r="MLP25"/>
      <c r="MLQ25"/>
      <c r="MLR25"/>
      <c r="MLS25"/>
      <c r="MLT25"/>
      <c r="MLU25"/>
      <c r="MLV25"/>
      <c r="MLW25"/>
      <c r="MLX25"/>
      <c r="MLY25"/>
      <c r="MLZ25"/>
      <c r="MMA25"/>
      <c r="MMB25"/>
      <c r="MMC25"/>
      <c r="MMD25"/>
      <c r="MME25"/>
      <c r="MMF25"/>
      <c r="MMG25"/>
      <c r="MMH25"/>
      <c r="MMI25"/>
      <c r="MMJ25"/>
      <c r="MMK25"/>
      <c r="MML25"/>
      <c r="MMM25"/>
      <c r="MMN25"/>
      <c r="MMO25"/>
      <c r="MMP25"/>
      <c r="MMQ25"/>
      <c r="MMR25"/>
      <c r="MMS25"/>
      <c r="MMT25"/>
      <c r="MMU25"/>
      <c r="MMV25"/>
      <c r="MMW25"/>
      <c r="MMX25"/>
      <c r="MMY25"/>
      <c r="MMZ25"/>
      <c r="MNA25"/>
      <c r="MNB25"/>
      <c r="MNC25"/>
      <c r="MND25"/>
      <c r="MNE25"/>
      <c r="MNF25"/>
      <c r="MNG25"/>
      <c r="MNH25"/>
      <c r="MNI25"/>
      <c r="MNJ25"/>
      <c r="MNK25"/>
      <c r="MNL25"/>
      <c r="MNM25"/>
      <c r="MNN25"/>
      <c r="MNO25"/>
      <c r="MNP25"/>
      <c r="MNQ25"/>
      <c r="MNR25"/>
      <c r="MNS25"/>
      <c r="MNT25"/>
      <c r="MNU25"/>
      <c r="MNV25"/>
      <c r="MNW25"/>
      <c r="MNX25"/>
      <c r="MNY25"/>
      <c r="MNZ25"/>
      <c r="MOA25"/>
      <c r="MOB25"/>
      <c r="MOC25"/>
      <c r="MOD25"/>
      <c r="MOE25"/>
      <c r="MOF25"/>
      <c r="MOG25"/>
      <c r="MOH25"/>
      <c r="MOI25"/>
      <c r="MOJ25"/>
      <c r="MOK25"/>
      <c r="MOL25"/>
      <c r="MOM25"/>
      <c r="MON25"/>
      <c r="MOO25"/>
      <c r="MOP25"/>
      <c r="MOQ25"/>
      <c r="MOR25"/>
      <c r="MOS25"/>
      <c r="MOT25"/>
      <c r="MOU25"/>
      <c r="MOV25"/>
      <c r="MOW25"/>
      <c r="MOX25"/>
      <c r="MOY25"/>
      <c r="MOZ25"/>
      <c r="MPA25"/>
      <c r="MPB25"/>
      <c r="MPC25"/>
      <c r="MPD25"/>
      <c r="MPE25"/>
      <c r="MPF25"/>
      <c r="MPG25"/>
      <c r="MPH25"/>
      <c r="MPI25"/>
      <c r="MPJ25"/>
      <c r="MPK25"/>
      <c r="MPL25"/>
      <c r="MPM25"/>
      <c r="MPN25"/>
      <c r="MPO25"/>
      <c r="MPP25"/>
      <c r="MPQ25"/>
      <c r="MPR25"/>
      <c r="MPS25"/>
      <c r="MPT25"/>
      <c r="MPU25"/>
      <c r="MPV25"/>
      <c r="MPW25"/>
      <c r="MPX25"/>
      <c r="MPY25"/>
      <c r="MPZ25"/>
      <c r="MQA25"/>
      <c r="MQB25"/>
      <c r="MQC25"/>
      <c r="MQD25"/>
      <c r="MQE25"/>
      <c r="MQF25"/>
      <c r="MQG25"/>
      <c r="MQH25"/>
      <c r="MQI25"/>
      <c r="MQJ25"/>
      <c r="MQK25"/>
      <c r="MQL25"/>
      <c r="MQM25"/>
      <c r="MQN25"/>
      <c r="MQO25"/>
      <c r="MQP25"/>
      <c r="MQQ25"/>
      <c r="MQR25"/>
      <c r="MQS25"/>
      <c r="MQT25"/>
      <c r="MQU25"/>
      <c r="MQV25"/>
      <c r="MQW25"/>
      <c r="MQX25"/>
      <c r="MQY25"/>
      <c r="MQZ25"/>
      <c r="MRA25"/>
      <c r="MRB25"/>
      <c r="MRC25"/>
      <c r="MRD25"/>
      <c r="MRE25"/>
      <c r="MRF25"/>
      <c r="MRG25"/>
      <c r="MRH25"/>
      <c r="MRI25"/>
      <c r="MRJ25"/>
      <c r="MRK25"/>
      <c r="MRL25"/>
      <c r="MRM25"/>
      <c r="MRN25"/>
      <c r="MRO25"/>
      <c r="MRP25"/>
      <c r="MRQ25"/>
      <c r="MRR25"/>
      <c r="MRS25"/>
      <c r="MRT25"/>
      <c r="MRU25"/>
      <c r="MRV25"/>
      <c r="MRW25"/>
      <c r="MRX25"/>
      <c r="MRY25"/>
      <c r="MRZ25"/>
      <c r="MSA25"/>
      <c r="MSB25"/>
      <c r="MSC25"/>
      <c r="MSD25"/>
      <c r="MSE25"/>
      <c r="MSF25"/>
      <c r="MSG25"/>
      <c r="MSH25"/>
      <c r="MSI25"/>
      <c r="MSJ25"/>
      <c r="MSK25"/>
      <c r="MSL25"/>
      <c r="MSM25"/>
      <c r="MSN25"/>
      <c r="MSO25"/>
      <c r="MSP25"/>
      <c r="MSQ25"/>
      <c r="MSR25"/>
      <c r="MSS25"/>
      <c r="MST25"/>
      <c r="MSU25"/>
      <c r="MSV25"/>
      <c r="MSW25"/>
      <c r="MSX25"/>
      <c r="MSY25"/>
      <c r="MSZ25"/>
      <c r="MTA25"/>
      <c r="MTB25"/>
      <c r="MTC25"/>
      <c r="MTD25"/>
      <c r="MTE25"/>
      <c r="MTF25"/>
      <c r="MTG25"/>
      <c r="MTH25"/>
      <c r="MTI25"/>
      <c r="MTJ25"/>
      <c r="MTK25"/>
      <c r="MTL25"/>
      <c r="MTM25"/>
      <c r="MTN25"/>
      <c r="MTO25"/>
      <c r="MTP25"/>
      <c r="MTQ25"/>
      <c r="MTR25"/>
      <c r="MTS25"/>
      <c r="MTT25"/>
      <c r="MTU25"/>
      <c r="MTV25"/>
      <c r="MTW25"/>
      <c r="MTX25"/>
      <c r="MTY25"/>
      <c r="MTZ25"/>
      <c r="MUA25"/>
      <c r="MUB25"/>
      <c r="MUC25"/>
      <c r="MUD25"/>
      <c r="MUE25"/>
      <c r="MUF25"/>
      <c r="MUG25"/>
      <c r="MUH25"/>
      <c r="MUI25"/>
      <c r="MUJ25"/>
      <c r="MUK25"/>
      <c r="MUL25"/>
      <c r="MUM25"/>
      <c r="MUN25"/>
      <c r="MUO25"/>
      <c r="MUP25"/>
      <c r="MUQ25"/>
      <c r="MUR25"/>
      <c r="MUS25"/>
      <c r="MUT25"/>
      <c r="MUU25"/>
      <c r="MUV25"/>
      <c r="MUW25"/>
      <c r="MUX25"/>
      <c r="MUY25"/>
      <c r="MUZ25"/>
      <c r="MVA25"/>
      <c r="MVB25"/>
      <c r="MVC25"/>
      <c r="MVD25"/>
      <c r="MVE25"/>
      <c r="MVF25"/>
      <c r="MVG25"/>
      <c r="MVH25"/>
      <c r="MVI25"/>
      <c r="MVJ25"/>
      <c r="MVK25"/>
      <c r="MVL25"/>
      <c r="MVM25"/>
      <c r="MVN25"/>
      <c r="MVO25"/>
      <c r="MVP25"/>
      <c r="MVQ25"/>
      <c r="MVR25"/>
      <c r="MVS25"/>
      <c r="MVT25"/>
      <c r="MVU25"/>
      <c r="MVV25"/>
      <c r="MVW25"/>
      <c r="MVX25"/>
      <c r="MVY25"/>
      <c r="MVZ25"/>
      <c r="MWA25"/>
      <c r="MWB25"/>
      <c r="MWC25"/>
      <c r="MWD25"/>
      <c r="MWE25"/>
      <c r="MWF25"/>
      <c r="MWG25"/>
      <c r="MWH25"/>
      <c r="MWI25"/>
      <c r="MWJ25"/>
      <c r="MWK25"/>
      <c r="MWL25"/>
      <c r="MWM25"/>
      <c r="MWN25"/>
      <c r="MWO25"/>
      <c r="MWP25"/>
      <c r="MWQ25"/>
      <c r="MWR25"/>
      <c r="MWS25"/>
      <c r="MWT25"/>
      <c r="MWU25"/>
      <c r="MWV25"/>
      <c r="MWW25"/>
      <c r="MWX25"/>
      <c r="MWY25"/>
      <c r="MWZ25"/>
      <c r="MXA25"/>
      <c r="MXB25"/>
      <c r="MXC25"/>
      <c r="MXD25"/>
      <c r="MXE25"/>
      <c r="MXF25"/>
      <c r="MXG25"/>
      <c r="MXH25"/>
      <c r="MXI25"/>
      <c r="MXJ25"/>
      <c r="MXK25"/>
      <c r="MXL25"/>
      <c r="MXM25"/>
      <c r="MXN25"/>
      <c r="MXO25"/>
      <c r="MXP25"/>
      <c r="MXQ25"/>
      <c r="MXR25"/>
      <c r="MXS25"/>
      <c r="MXT25"/>
      <c r="MXU25"/>
      <c r="MXV25"/>
      <c r="MXW25"/>
      <c r="MXX25"/>
      <c r="MXY25"/>
      <c r="MXZ25"/>
      <c r="MYA25"/>
      <c r="MYB25"/>
      <c r="MYC25"/>
      <c r="MYD25"/>
      <c r="MYE25"/>
      <c r="MYF25"/>
      <c r="MYG25"/>
      <c r="MYH25"/>
      <c r="MYI25"/>
      <c r="MYJ25"/>
      <c r="MYK25"/>
      <c r="MYL25"/>
      <c r="MYM25"/>
      <c r="MYN25"/>
      <c r="MYO25"/>
      <c r="MYP25"/>
      <c r="MYQ25"/>
      <c r="MYR25"/>
      <c r="MYS25"/>
      <c r="MYT25"/>
      <c r="MYU25"/>
      <c r="MYV25"/>
      <c r="MYW25"/>
      <c r="MYX25"/>
      <c r="MYY25"/>
      <c r="MYZ25"/>
      <c r="MZA25"/>
      <c r="MZB25"/>
      <c r="MZC25"/>
      <c r="MZD25"/>
      <c r="MZE25"/>
      <c r="MZF25"/>
      <c r="MZG25"/>
      <c r="MZH25"/>
      <c r="MZI25"/>
      <c r="MZJ25"/>
      <c r="MZK25"/>
      <c r="MZL25"/>
      <c r="MZM25"/>
      <c r="MZN25"/>
      <c r="MZO25"/>
      <c r="MZP25"/>
      <c r="MZQ25"/>
      <c r="MZR25"/>
      <c r="MZS25"/>
      <c r="MZT25"/>
      <c r="MZU25"/>
      <c r="MZV25"/>
      <c r="MZW25"/>
      <c r="MZX25"/>
      <c r="MZY25"/>
      <c r="MZZ25"/>
      <c r="NAA25"/>
      <c r="NAB25"/>
      <c r="NAC25"/>
      <c r="NAD25"/>
      <c r="NAE25"/>
      <c r="NAF25"/>
      <c r="NAG25"/>
      <c r="NAH25"/>
      <c r="NAI25"/>
      <c r="NAJ25"/>
      <c r="NAK25"/>
      <c r="NAL25"/>
      <c r="NAM25"/>
      <c r="NAN25"/>
      <c r="NAO25"/>
      <c r="NAP25"/>
      <c r="NAQ25"/>
      <c r="NAR25"/>
      <c r="NAS25"/>
      <c r="NAT25"/>
      <c r="NAU25"/>
      <c r="NAV25"/>
      <c r="NAW25"/>
      <c r="NAX25"/>
      <c r="NAY25"/>
      <c r="NAZ25"/>
      <c r="NBA25"/>
      <c r="NBB25"/>
      <c r="NBC25"/>
      <c r="NBD25"/>
      <c r="NBE25"/>
      <c r="NBF25"/>
      <c r="NBG25"/>
      <c r="NBH25"/>
      <c r="NBI25"/>
      <c r="NBJ25"/>
      <c r="NBK25"/>
      <c r="NBL25"/>
      <c r="NBM25"/>
      <c r="NBN25"/>
      <c r="NBO25"/>
      <c r="NBP25"/>
      <c r="NBQ25"/>
      <c r="NBR25"/>
      <c r="NBS25"/>
      <c r="NBT25"/>
      <c r="NBU25"/>
      <c r="NBV25"/>
      <c r="NBW25"/>
      <c r="NBX25"/>
      <c r="NBY25"/>
      <c r="NBZ25"/>
      <c r="NCA25"/>
      <c r="NCB25"/>
      <c r="NCC25"/>
      <c r="NCD25"/>
      <c r="NCE25"/>
      <c r="NCF25"/>
      <c r="NCG25"/>
      <c r="NCH25"/>
      <c r="NCI25"/>
      <c r="NCJ25"/>
      <c r="NCK25"/>
      <c r="NCL25"/>
      <c r="NCM25"/>
      <c r="NCN25"/>
      <c r="NCO25"/>
      <c r="NCP25"/>
      <c r="NCQ25"/>
      <c r="NCR25"/>
      <c r="NCS25"/>
      <c r="NCT25"/>
      <c r="NCU25"/>
      <c r="NCV25"/>
      <c r="NCW25"/>
      <c r="NCX25"/>
      <c r="NCY25"/>
      <c r="NCZ25"/>
      <c r="NDA25"/>
      <c r="NDB25"/>
      <c r="NDC25"/>
      <c r="NDD25"/>
      <c r="NDE25"/>
      <c r="NDF25"/>
      <c r="NDG25"/>
      <c r="NDH25"/>
      <c r="NDI25"/>
      <c r="NDJ25"/>
      <c r="NDK25"/>
      <c r="NDL25"/>
      <c r="NDM25"/>
      <c r="NDN25"/>
      <c r="NDO25"/>
      <c r="NDP25"/>
      <c r="NDQ25"/>
      <c r="NDR25"/>
      <c r="NDS25"/>
      <c r="NDT25"/>
      <c r="NDU25"/>
      <c r="NDV25"/>
      <c r="NDW25"/>
      <c r="NDX25"/>
      <c r="NDY25"/>
      <c r="NDZ25"/>
      <c r="NEA25"/>
      <c r="NEB25"/>
      <c r="NEC25"/>
      <c r="NED25"/>
      <c r="NEE25"/>
      <c r="NEF25"/>
      <c r="NEG25"/>
      <c r="NEH25"/>
      <c r="NEI25"/>
      <c r="NEJ25"/>
      <c r="NEK25"/>
      <c r="NEL25"/>
      <c r="NEM25"/>
      <c r="NEN25"/>
      <c r="NEO25"/>
      <c r="NEP25"/>
      <c r="NEQ25"/>
      <c r="NER25"/>
      <c r="NES25"/>
      <c r="NET25"/>
      <c r="NEU25"/>
      <c r="NEV25"/>
      <c r="NEW25"/>
      <c r="NEX25"/>
      <c r="NEY25"/>
      <c r="NEZ25"/>
      <c r="NFA25"/>
      <c r="NFB25"/>
      <c r="NFC25"/>
      <c r="NFD25"/>
      <c r="NFE25"/>
      <c r="NFF25"/>
      <c r="NFG25"/>
      <c r="NFH25"/>
      <c r="NFI25"/>
      <c r="NFJ25"/>
      <c r="NFK25"/>
      <c r="NFL25"/>
      <c r="NFM25"/>
      <c r="NFN25"/>
      <c r="NFO25"/>
      <c r="NFP25"/>
      <c r="NFQ25"/>
      <c r="NFR25"/>
      <c r="NFS25"/>
      <c r="NFT25"/>
      <c r="NFU25"/>
      <c r="NFV25"/>
      <c r="NFW25"/>
      <c r="NFX25"/>
      <c r="NFY25"/>
      <c r="NFZ25"/>
      <c r="NGA25"/>
      <c r="NGB25"/>
      <c r="NGC25"/>
      <c r="NGD25"/>
      <c r="NGE25"/>
      <c r="NGF25"/>
      <c r="NGG25"/>
      <c r="NGH25"/>
      <c r="NGI25"/>
      <c r="NGJ25"/>
      <c r="NGK25"/>
      <c r="NGL25"/>
      <c r="NGM25"/>
      <c r="NGN25"/>
      <c r="NGO25"/>
      <c r="NGP25"/>
      <c r="NGQ25"/>
      <c r="NGR25"/>
      <c r="NGS25"/>
      <c r="NGT25"/>
      <c r="NGU25"/>
      <c r="NGV25"/>
      <c r="NGW25"/>
      <c r="NGX25"/>
      <c r="NGY25"/>
      <c r="NGZ25"/>
      <c r="NHA25"/>
      <c r="NHB25"/>
      <c r="NHC25"/>
      <c r="NHD25"/>
      <c r="NHE25"/>
      <c r="NHF25"/>
      <c r="NHG25"/>
      <c r="NHH25"/>
      <c r="NHI25"/>
      <c r="NHJ25"/>
      <c r="NHK25"/>
      <c r="NHL25"/>
      <c r="NHM25"/>
      <c r="NHN25"/>
      <c r="NHO25"/>
      <c r="NHP25"/>
      <c r="NHQ25"/>
      <c r="NHR25"/>
      <c r="NHS25"/>
      <c r="NHT25"/>
      <c r="NHU25"/>
      <c r="NHV25"/>
      <c r="NHW25"/>
      <c r="NHX25"/>
      <c r="NHY25"/>
      <c r="NHZ25"/>
      <c r="NIA25"/>
      <c r="NIB25"/>
      <c r="NIC25"/>
      <c r="NID25"/>
      <c r="NIE25"/>
      <c r="NIF25"/>
      <c r="NIG25"/>
      <c r="NIH25"/>
      <c r="NII25"/>
      <c r="NIJ25"/>
      <c r="NIK25"/>
      <c r="NIL25"/>
      <c r="NIM25"/>
      <c r="NIN25"/>
      <c r="NIO25"/>
      <c r="NIP25"/>
      <c r="NIQ25"/>
      <c r="NIR25"/>
      <c r="NIS25"/>
      <c r="NIT25"/>
      <c r="NIU25"/>
      <c r="NIV25"/>
      <c r="NIW25"/>
      <c r="NIX25"/>
      <c r="NIY25"/>
      <c r="NIZ25"/>
      <c r="NJA25"/>
      <c r="NJB25"/>
      <c r="NJC25"/>
      <c r="NJD25"/>
      <c r="NJE25"/>
      <c r="NJF25"/>
      <c r="NJG25"/>
      <c r="NJH25"/>
      <c r="NJI25"/>
      <c r="NJJ25"/>
      <c r="NJK25"/>
      <c r="NJL25"/>
      <c r="NJM25"/>
      <c r="NJN25"/>
      <c r="NJO25"/>
      <c r="NJP25"/>
      <c r="NJQ25"/>
      <c r="NJR25"/>
      <c r="NJS25"/>
      <c r="NJT25"/>
      <c r="NJU25"/>
      <c r="NJV25"/>
      <c r="NJW25"/>
      <c r="NJX25"/>
      <c r="NJY25"/>
      <c r="NJZ25"/>
      <c r="NKA25"/>
      <c r="NKB25"/>
      <c r="NKC25"/>
      <c r="NKD25"/>
      <c r="NKE25"/>
      <c r="NKF25"/>
      <c r="NKG25"/>
      <c r="NKH25"/>
      <c r="NKI25"/>
      <c r="NKJ25"/>
      <c r="NKK25"/>
      <c r="NKL25"/>
      <c r="NKM25"/>
      <c r="NKN25"/>
      <c r="NKO25"/>
      <c r="NKP25"/>
      <c r="NKQ25"/>
      <c r="NKR25"/>
      <c r="NKS25"/>
      <c r="NKT25"/>
      <c r="NKU25"/>
      <c r="NKV25"/>
      <c r="NKW25"/>
      <c r="NKX25"/>
      <c r="NKY25"/>
      <c r="NKZ25"/>
      <c r="NLA25"/>
      <c r="NLB25"/>
      <c r="NLC25"/>
      <c r="NLD25"/>
      <c r="NLE25"/>
      <c r="NLF25"/>
      <c r="NLG25"/>
      <c r="NLH25"/>
      <c r="NLI25"/>
      <c r="NLJ25"/>
      <c r="NLK25"/>
      <c r="NLL25"/>
      <c r="NLM25"/>
      <c r="NLN25"/>
      <c r="NLO25"/>
      <c r="NLP25"/>
      <c r="NLQ25"/>
      <c r="NLR25"/>
      <c r="NLS25"/>
      <c r="NLT25"/>
      <c r="NLU25"/>
      <c r="NLV25"/>
      <c r="NLW25"/>
      <c r="NLX25"/>
      <c r="NLY25"/>
      <c r="NLZ25"/>
      <c r="NMA25"/>
      <c r="NMB25"/>
      <c r="NMC25"/>
      <c r="NMD25"/>
      <c r="NME25"/>
      <c r="NMF25"/>
      <c r="NMG25"/>
      <c r="NMH25"/>
      <c r="NMI25"/>
      <c r="NMJ25"/>
      <c r="NMK25"/>
      <c r="NML25"/>
      <c r="NMM25"/>
      <c r="NMN25"/>
      <c r="NMO25"/>
      <c r="NMP25"/>
      <c r="NMQ25"/>
      <c r="NMR25"/>
      <c r="NMS25"/>
      <c r="NMT25"/>
      <c r="NMU25"/>
      <c r="NMV25"/>
      <c r="NMW25"/>
      <c r="NMX25"/>
      <c r="NMY25"/>
      <c r="NMZ25"/>
      <c r="NNA25"/>
      <c r="NNB25"/>
      <c r="NNC25"/>
      <c r="NND25"/>
      <c r="NNE25"/>
      <c r="NNF25"/>
      <c r="NNG25"/>
      <c r="NNH25"/>
      <c r="NNI25"/>
      <c r="NNJ25"/>
      <c r="NNK25"/>
      <c r="NNL25"/>
      <c r="NNM25"/>
      <c r="NNN25"/>
      <c r="NNO25"/>
      <c r="NNP25"/>
      <c r="NNQ25"/>
      <c r="NNR25"/>
      <c r="NNS25"/>
      <c r="NNT25"/>
      <c r="NNU25"/>
      <c r="NNV25"/>
      <c r="NNW25"/>
      <c r="NNX25"/>
      <c r="NNY25"/>
      <c r="NNZ25"/>
      <c r="NOA25"/>
      <c r="NOB25"/>
      <c r="NOC25"/>
      <c r="NOD25"/>
      <c r="NOE25"/>
      <c r="NOF25"/>
      <c r="NOG25"/>
      <c r="NOH25"/>
      <c r="NOI25"/>
      <c r="NOJ25"/>
      <c r="NOK25"/>
      <c r="NOL25"/>
      <c r="NOM25"/>
      <c r="NON25"/>
      <c r="NOO25"/>
      <c r="NOP25"/>
      <c r="NOQ25"/>
      <c r="NOR25"/>
      <c r="NOS25"/>
      <c r="NOT25"/>
      <c r="NOU25"/>
      <c r="NOV25"/>
      <c r="NOW25"/>
      <c r="NOX25"/>
      <c r="NOY25"/>
      <c r="NOZ25"/>
      <c r="NPA25"/>
      <c r="NPB25"/>
      <c r="NPC25"/>
      <c r="NPD25"/>
      <c r="NPE25"/>
      <c r="NPF25"/>
      <c r="NPG25"/>
      <c r="NPH25"/>
      <c r="NPI25"/>
      <c r="NPJ25"/>
      <c r="NPK25"/>
      <c r="NPL25"/>
      <c r="NPM25"/>
      <c r="NPN25"/>
      <c r="NPO25"/>
      <c r="NPP25"/>
      <c r="NPQ25"/>
      <c r="NPR25"/>
      <c r="NPS25"/>
      <c r="NPT25"/>
      <c r="NPU25"/>
      <c r="NPV25"/>
      <c r="NPW25"/>
      <c r="NPX25"/>
      <c r="NPY25"/>
      <c r="NPZ25"/>
      <c r="NQA25"/>
      <c r="NQB25"/>
      <c r="NQC25"/>
      <c r="NQD25"/>
      <c r="NQE25"/>
      <c r="NQF25"/>
      <c r="NQG25"/>
      <c r="NQH25"/>
      <c r="NQI25"/>
      <c r="NQJ25"/>
      <c r="NQK25"/>
      <c r="NQL25"/>
      <c r="NQM25"/>
      <c r="NQN25"/>
      <c r="NQO25"/>
      <c r="NQP25"/>
      <c r="NQQ25"/>
      <c r="NQR25"/>
      <c r="NQS25"/>
      <c r="NQT25"/>
      <c r="NQU25"/>
      <c r="NQV25"/>
      <c r="NQW25"/>
      <c r="NQX25"/>
      <c r="NQY25"/>
      <c r="NQZ25"/>
      <c r="NRA25"/>
      <c r="NRB25"/>
      <c r="NRC25"/>
      <c r="NRD25"/>
      <c r="NRE25"/>
      <c r="NRF25"/>
      <c r="NRG25"/>
      <c r="NRH25"/>
      <c r="NRI25"/>
      <c r="NRJ25"/>
      <c r="NRK25"/>
      <c r="NRL25"/>
      <c r="NRM25"/>
      <c r="NRN25"/>
      <c r="NRO25"/>
      <c r="NRP25"/>
      <c r="NRQ25"/>
      <c r="NRR25"/>
      <c r="NRS25"/>
      <c r="NRT25"/>
      <c r="NRU25"/>
      <c r="NRV25"/>
      <c r="NRW25"/>
      <c r="NRX25"/>
      <c r="NRY25"/>
      <c r="NRZ25"/>
      <c r="NSA25"/>
      <c r="NSB25"/>
      <c r="NSC25"/>
      <c r="NSD25"/>
      <c r="NSE25"/>
      <c r="NSF25"/>
      <c r="NSG25"/>
      <c r="NSH25"/>
      <c r="NSI25"/>
      <c r="NSJ25"/>
      <c r="NSK25"/>
      <c r="NSL25"/>
      <c r="NSM25"/>
      <c r="NSN25"/>
      <c r="NSO25"/>
      <c r="NSP25"/>
      <c r="NSQ25"/>
      <c r="NSR25"/>
      <c r="NSS25"/>
      <c r="NST25"/>
      <c r="NSU25"/>
      <c r="NSV25"/>
      <c r="NSW25"/>
      <c r="NSX25"/>
      <c r="NSY25"/>
      <c r="NSZ25"/>
      <c r="NTA25"/>
      <c r="NTB25"/>
      <c r="NTC25"/>
      <c r="NTD25"/>
      <c r="NTE25"/>
      <c r="NTF25"/>
      <c r="NTG25"/>
      <c r="NTH25"/>
      <c r="NTI25"/>
      <c r="NTJ25"/>
      <c r="NTK25"/>
      <c r="NTL25"/>
      <c r="NTM25"/>
      <c r="NTN25"/>
      <c r="NTO25"/>
      <c r="NTP25"/>
      <c r="NTQ25"/>
      <c r="NTR25"/>
      <c r="NTS25"/>
      <c r="NTT25"/>
      <c r="NTU25"/>
      <c r="NTV25"/>
      <c r="NTW25"/>
      <c r="NTX25"/>
      <c r="NTY25"/>
      <c r="NTZ25"/>
      <c r="NUA25"/>
      <c r="NUB25"/>
      <c r="NUC25"/>
      <c r="NUD25"/>
      <c r="NUE25"/>
      <c r="NUF25"/>
      <c r="NUG25"/>
      <c r="NUH25"/>
      <c r="NUI25"/>
      <c r="NUJ25"/>
      <c r="NUK25"/>
      <c r="NUL25"/>
      <c r="NUM25"/>
      <c r="NUN25"/>
      <c r="NUO25"/>
      <c r="NUP25"/>
      <c r="NUQ25"/>
      <c r="NUR25"/>
      <c r="NUS25"/>
      <c r="NUT25"/>
      <c r="NUU25"/>
      <c r="NUV25"/>
      <c r="NUW25"/>
      <c r="NUX25"/>
      <c r="NUY25"/>
      <c r="NUZ25"/>
      <c r="NVA25"/>
      <c r="NVB25"/>
      <c r="NVC25"/>
      <c r="NVD25"/>
      <c r="NVE25"/>
      <c r="NVF25"/>
      <c r="NVG25"/>
      <c r="NVH25"/>
      <c r="NVI25"/>
      <c r="NVJ25"/>
      <c r="NVK25"/>
      <c r="NVL25"/>
      <c r="NVM25"/>
      <c r="NVN25"/>
      <c r="NVO25"/>
      <c r="NVP25"/>
      <c r="NVQ25"/>
      <c r="NVR25"/>
      <c r="NVS25"/>
      <c r="NVT25"/>
      <c r="NVU25"/>
      <c r="NVV25"/>
      <c r="NVW25"/>
      <c r="NVX25"/>
      <c r="NVY25"/>
      <c r="NVZ25"/>
      <c r="NWA25"/>
      <c r="NWB25"/>
      <c r="NWC25"/>
      <c r="NWD25"/>
      <c r="NWE25"/>
      <c r="NWF25"/>
      <c r="NWG25"/>
      <c r="NWH25"/>
      <c r="NWI25"/>
      <c r="NWJ25"/>
      <c r="NWK25"/>
      <c r="NWL25"/>
      <c r="NWM25"/>
      <c r="NWN25"/>
      <c r="NWO25"/>
      <c r="NWP25"/>
      <c r="NWQ25"/>
      <c r="NWR25"/>
      <c r="NWS25"/>
      <c r="NWT25"/>
      <c r="NWU25"/>
      <c r="NWV25"/>
      <c r="NWW25"/>
      <c r="NWX25"/>
      <c r="NWY25"/>
      <c r="NWZ25"/>
      <c r="NXA25"/>
      <c r="NXB25"/>
      <c r="NXC25"/>
      <c r="NXD25"/>
      <c r="NXE25"/>
      <c r="NXF25"/>
      <c r="NXG25"/>
      <c r="NXH25"/>
      <c r="NXI25"/>
      <c r="NXJ25"/>
      <c r="NXK25"/>
      <c r="NXL25"/>
      <c r="NXM25"/>
      <c r="NXN25"/>
      <c r="NXO25"/>
      <c r="NXP25"/>
      <c r="NXQ25"/>
      <c r="NXR25"/>
      <c r="NXS25"/>
      <c r="NXT25"/>
      <c r="NXU25"/>
      <c r="NXV25"/>
      <c r="NXW25"/>
      <c r="NXX25"/>
      <c r="NXY25"/>
      <c r="NXZ25"/>
      <c r="NYA25"/>
      <c r="NYB25"/>
      <c r="NYC25"/>
      <c r="NYD25"/>
      <c r="NYE25"/>
      <c r="NYF25"/>
      <c r="NYG25"/>
      <c r="NYH25"/>
      <c r="NYI25"/>
      <c r="NYJ25"/>
      <c r="NYK25"/>
      <c r="NYL25"/>
      <c r="NYM25"/>
      <c r="NYN25"/>
      <c r="NYO25"/>
      <c r="NYP25"/>
      <c r="NYQ25"/>
      <c r="NYR25"/>
      <c r="NYS25"/>
      <c r="NYT25"/>
      <c r="NYU25"/>
      <c r="NYV25"/>
      <c r="NYW25"/>
      <c r="NYX25"/>
      <c r="NYY25"/>
      <c r="NYZ25"/>
      <c r="NZA25"/>
      <c r="NZB25"/>
      <c r="NZC25"/>
      <c r="NZD25"/>
      <c r="NZE25"/>
      <c r="NZF25"/>
      <c r="NZG25"/>
      <c r="NZH25"/>
      <c r="NZI25"/>
      <c r="NZJ25"/>
      <c r="NZK25"/>
      <c r="NZL25"/>
      <c r="NZM25"/>
      <c r="NZN25"/>
      <c r="NZO25"/>
      <c r="NZP25"/>
      <c r="NZQ25"/>
      <c r="NZR25"/>
      <c r="NZS25"/>
      <c r="NZT25"/>
      <c r="NZU25"/>
      <c r="NZV25"/>
      <c r="NZW25"/>
      <c r="NZX25"/>
      <c r="NZY25"/>
      <c r="NZZ25"/>
      <c r="OAA25"/>
      <c r="OAB25"/>
      <c r="OAC25"/>
      <c r="OAD25"/>
      <c r="OAE25"/>
      <c r="OAF25"/>
      <c r="OAG25"/>
      <c r="OAH25"/>
      <c r="OAI25"/>
      <c r="OAJ25"/>
      <c r="OAK25"/>
      <c r="OAL25"/>
      <c r="OAM25"/>
      <c r="OAN25"/>
      <c r="OAO25"/>
      <c r="OAP25"/>
      <c r="OAQ25"/>
      <c r="OAR25"/>
      <c r="OAS25"/>
      <c r="OAT25"/>
      <c r="OAU25"/>
      <c r="OAV25"/>
      <c r="OAW25"/>
      <c r="OAX25"/>
      <c r="OAY25"/>
      <c r="OAZ25"/>
      <c r="OBA25"/>
      <c r="OBB25"/>
      <c r="OBC25"/>
      <c r="OBD25"/>
      <c r="OBE25"/>
      <c r="OBF25"/>
      <c r="OBG25"/>
      <c r="OBH25"/>
      <c r="OBI25"/>
      <c r="OBJ25"/>
      <c r="OBK25"/>
      <c r="OBL25"/>
      <c r="OBM25"/>
      <c r="OBN25"/>
      <c r="OBO25"/>
      <c r="OBP25"/>
      <c r="OBQ25"/>
      <c r="OBR25"/>
      <c r="OBS25"/>
      <c r="OBT25"/>
      <c r="OBU25"/>
      <c r="OBV25"/>
      <c r="OBW25"/>
      <c r="OBX25"/>
      <c r="OBY25"/>
      <c r="OBZ25"/>
      <c r="OCA25"/>
      <c r="OCB25"/>
      <c r="OCC25"/>
      <c r="OCD25"/>
      <c r="OCE25"/>
      <c r="OCF25"/>
      <c r="OCG25"/>
      <c r="OCH25"/>
      <c r="OCI25"/>
      <c r="OCJ25"/>
      <c r="OCK25"/>
      <c r="OCL25"/>
      <c r="OCM25"/>
      <c r="OCN25"/>
      <c r="OCO25"/>
      <c r="OCP25"/>
      <c r="OCQ25"/>
      <c r="OCR25"/>
      <c r="OCS25"/>
      <c r="OCT25"/>
      <c r="OCU25"/>
      <c r="OCV25"/>
      <c r="OCW25"/>
      <c r="OCX25"/>
      <c r="OCY25"/>
      <c r="OCZ25"/>
      <c r="ODA25"/>
      <c r="ODB25"/>
      <c r="ODC25"/>
      <c r="ODD25"/>
      <c r="ODE25"/>
      <c r="ODF25"/>
      <c r="ODG25"/>
      <c r="ODH25"/>
      <c r="ODI25"/>
      <c r="ODJ25"/>
      <c r="ODK25"/>
      <c r="ODL25"/>
      <c r="ODM25"/>
      <c r="ODN25"/>
      <c r="ODO25"/>
      <c r="ODP25"/>
      <c r="ODQ25"/>
      <c r="ODR25"/>
      <c r="ODS25"/>
      <c r="ODT25"/>
      <c r="ODU25"/>
      <c r="ODV25"/>
      <c r="ODW25"/>
      <c r="ODX25"/>
      <c r="ODY25"/>
      <c r="ODZ25"/>
      <c r="OEA25"/>
      <c r="OEB25"/>
      <c r="OEC25"/>
      <c r="OED25"/>
      <c r="OEE25"/>
      <c r="OEF25"/>
      <c r="OEG25"/>
      <c r="OEH25"/>
      <c r="OEI25"/>
      <c r="OEJ25"/>
      <c r="OEK25"/>
      <c r="OEL25"/>
      <c r="OEM25"/>
      <c r="OEN25"/>
      <c r="OEO25"/>
      <c r="OEP25"/>
      <c r="OEQ25"/>
      <c r="OER25"/>
      <c r="OES25"/>
      <c r="OET25"/>
      <c r="OEU25"/>
      <c r="OEV25"/>
      <c r="OEW25"/>
      <c r="OEX25"/>
      <c r="OEY25"/>
      <c r="OEZ25"/>
      <c r="OFA25"/>
      <c r="OFB25"/>
      <c r="OFC25"/>
      <c r="OFD25"/>
      <c r="OFE25"/>
      <c r="OFF25"/>
      <c r="OFG25"/>
      <c r="OFH25"/>
      <c r="OFI25"/>
      <c r="OFJ25"/>
      <c r="OFK25"/>
      <c r="OFL25"/>
      <c r="OFM25"/>
      <c r="OFN25"/>
      <c r="OFO25"/>
      <c r="OFP25"/>
      <c r="OFQ25"/>
      <c r="OFR25"/>
      <c r="OFS25"/>
      <c r="OFT25"/>
      <c r="OFU25"/>
      <c r="OFV25"/>
      <c r="OFW25"/>
      <c r="OFX25"/>
      <c r="OFY25"/>
      <c r="OFZ25"/>
      <c r="OGA25"/>
      <c r="OGB25"/>
      <c r="OGC25"/>
      <c r="OGD25"/>
      <c r="OGE25"/>
      <c r="OGF25"/>
      <c r="OGG25"/>
      <c r="OGH25"/>
      <c r="OGI25"/>
      <c r="OGJ25"/>
      <c r="OGK25"/>
      <c r="OGL25"/>
      <c r="OGM25"/>
      <c r="OGN25"/>
      <c r="OGO25"/>
      <c r="OGP25"/>
      <c r="OGQ25"/>
      <c r="OGR25"/>
      <c r="OGS25"/>
      <c r="OGT25"/>
      <c r="OGU25"/>
      <c r="OGV25"/>
      <c r="OGW25"/>
      <c r="OGX25"/>
      <c r="OGY25"/>
      <c r="OGZ25"/>
      <c r="OHA25"/>
      <c r="OHB25"/>
      <c r="OHC25"/>
      <c r="OHD25"/>
      <c r="OHE25"/>
      <c r="OHF25"/>
      <c r="OHG25"/>
      <c r="OHH25"/>
      <c r="OHI25"/>
      <c r="OHJ25"/>
      <c r="OHK25"/>
      <c r="OHL25"/>
      <c r="OHM25"/>
      <c r="OHN25"/>
      <c r="OHO25"/>
      <c r="OHP25"/>
      <c r="OHQ25"/>
      <c r="OHR25"/>
      <c r="OHS25"/>
      <c r="OHT25"/>
      <c r="OHU25"/>
      <c r="OHV25"/>
      <c r="OHW25"/>
      <c r="OHX25"/>
      <c r="OHY25"/>
      <c r="OHZ25"/>
      <c r="OIA25"/>
      <c r="OIB25"/>
      <c r="OIC25"/>
      <c r="OID25"/>
      <c r="OIE25"/>
      <c r="OIF25"/>
      <c r="OIG25"/>
      <c r="OIH25"/>
      <c r="OII25"/>
      <c r="OIJ25"/>
      <c r="OIK25"/>
      <c r="OIL25"/>
      <c r="OIM25"/>
      <c r="OIN25"/>
      <c r="OIO25"/>
      <c r="OIP25"/>
      <c r="OIQ25"/>
      <c r="OIR25"/>
      <c r="OIS25"/>
      <c r="OIT25"/>
      <c r="OIU25"/>
      <c r="OIV25"/>
      <c r="OIW25"/>
      <c r="OIX25"/>
      <c r="OIY25"/>
      <c r="OIZ25"/>
      <c r="OJA25"/>
      <c r="OJB25"/>
      <c r="OJC25"/>
      <c r="OJD25"/>
      <c r="OJE25"/>
      <c r="OJF25"/>
      <c r="OJG25"/>
      <c r="OJH25"/>
      <c r="OJI25"/>
      <c r="OJJ25"/>
      <c r="OJK25"/>
      <c r="OJL25"/>
      <c r="OJM25"/>
      <c r="OJN25"/>
      <c r="OJO25"/>
      <c r="OJP25"/>
      <c r="OJQ25"/>
      <c r="OJR25"/>
      <c r="OJS25"/>
      <c r="OJT25"/>
      <c r="OJU25"/>
      <c r="OJV25"/>
      <c r="OJW25"/>
      <c r="OJX25"/>
      <c r="OJY25"/>
      <c r="OJZ25"/>
      <c r="OKA25"/>
      <c r="OKB25"/>
      <c r="OKC25"/>
      <c r="OKD25"/>
      <c r="OKE25"/>
      <c r="OKF25"/>
      <c r="OKG25"/>
      <c r="OKH25"/>
      <c r="OKI25"/>
      <c r="OKJ25"/>
      <c r="OKK25"/>
      <c r="OKL25"/>
      <c r="OKM25"/>
      <c r="OKN25"/>
      <c r="OKO25"/>
      <c r="OKP25"/>
      <c r="OKQ25"/>
      <c r="OKR25"/>
      <c r="OKS25"/>
      <c r="OKT25"/>
      <c r="OKU25"/>
      <c r="OKV25"/>
      <c r="OKW25"/>
      <c r="OKX25"/>
      <c r="OKY25"/>
      <c r="OKZ25"/>
      <c r="OLA25"/>
      <c r="OLB25"/>
      <c r="OLC25"/>
      <c r="OLD25"/>
      <c r="OLE25"/>
      <c r="OLF25"/>
      <c r="OLG25"/>
      <c r="OLH25"/>
      <c r="OLI25"/>
      <c r="OLJ25"/>
      <c r="OLK25"/>
      <c r="OLL25"/>
      <c r="OLM25"/>
      <c r="OLN25"/>
      <c r="OLO25"/>
      <c r="OLP25"/>
      <c r="OLQ25"/>
      <c r="OLR25"/>
      <c r="OLS25"/>
      <c r="OLT25"/>
      <c r="OLU25"/>
      <c r="OLV25"/>
      <c r="OLW25"/>
      <c r="OLX25"/>
      <c r="OLY25"/>
      <c r="OLZ25"/>
      <c r="OMA25"/>
      <c r="OMB25"/>
      <c r="OMC25"/>
      <c r="OMD25"/>
      <c r="OME25"/>
      <c r="OMF25"/>
      <c r="OMG25"/>
      <c r="OMH25"/>
      <c r="OMI25"/>
      <c r="OMJ25"/>
      <c r="OMK25"/>
      <c r="OML25"/>
      <c r="OMM25"/>
      <c r="OMN25"/>
      <c r="OMO25"/>
      <c r="OMP25"/>
      <c r="OMQ25"/>
      <c r="OMR25"/>
      <c r="OMS25"/>
      <c r="OMT25"/>
      <c r="OMU25"/>
      <c r="OMV25"/>
      <c r="OMW25"/>
      <c r="OMX25"/>
      <c r="OMY25"/>
      <c r="OMZ25"/>
      <c r="ONA25"/>
      <c r="ONB25"/>
      <c r="ONC25"/>
      <c r="OND25"/>
      <c r="ONE25"/>
      <c r="ONF25"/>
      <c r="ONG25"/>
      <c r="ONH25"/>
      <c r="ONI25"/>
      <c r="ONJ25"/>
      <c r="ONK25"/>
      <c r="ONL25"/>
      <c r="ONM25"/>
      <c r="ONN25"/>
      <c r="ONO25"/>
      <c r="ONP25"/>
      <c r="ONQ25"/>
      <c r="ONR25"/>
      <c r="ONS25"/>
      <c r="ONT25"/>
      <c r="ONU25"/>
      <c r="ONV25"/>
      <c r="ONW25"/>
      <c r="ONX25"/>
      <c r="ONY25"/>
      <c r="ONZ25"/>
      <c r="OOA25"/>
      <c r="OOB25"/>
      <c r="OOC25"/>
      <c r="OOD25"/>
      <c r="OOE25"/>
      <c r="OOF25"/>
      <c r="OOG25"/>
      <c r="OOH25"/>
      <c r="OOI25"/>
      <c r="OOJ25"/>
      <c r="OOK25"/>
      <c r="OOL25"/>
      <c r="OOM25"/>
      <c r="OON25"/>
      <c r="OOO25"/>
      <c r="OOP25"/>
      <c r="OOQ25"/>
      <c r="OOR25"/>
      <c r="OOS25"/>
      <c r="OOT25"/>
      <c r="OOU25"/>
      <c r="OOV25"/>
      <c r="OOW25"/>
      <c r="OOX25"/>
      <c r="OOY25"/>
      <c r="OOZ25"/>
      <c r="OPA25"/>
      <c r="OPB25"/>
      <c r="OPC25"/>
      <c r="OPD25"/>
      <c r="OPE25"/>
      <c r="OPF25"/>
      <c r="OPG25"/>
      <c r="OPH25"/>
      <c r="OPI25"/>
      <c r="OPJ25"/>
      <c r="OPK25"/>
      <c r="OPL25"/>
      <c r="OPM25"/>
      <c r="OPN25"/>
      <c r="OPO25"/>
      <c r="OPP25"/>
      <c r="OPQ25"/>
      <c r="OPR25"/>
      <c r="OPS25"/>
      <c r="OPT25"/>
      <c r="OPU25"/>
      <c r="OPV25"/>
      <c r="OPW25"/>
      <c r="OPX25"/>
      <c r="OPY25"/>
      <c r="OPZ25"/>
      <c r="OQA25"/>
      <c r="OQB25"/>
      <c r="OQC25"/>
      <c r="OQD25"/>
      <c r="OQE25"/>
      <c r="OQF25"/>
      <c r="OQG25"/>
      <c r="OQH25"/>
      <c r="OQI25"/>
      <c r="OQJ25"/>
      <c r="OQK25"/>
      <c r="OQL25"/>
      <c r="OQM25"/>
      <c r="OQN25"/>
      <c r="OQO25"/>
      <c r="OQP25"/>
      <c r="OQQ25"/>
      <c r="OQR25"/>
      <c r="OQS25"/>
      <c r="OQT25"/>
      <c r="OQU25"/>
      <c r="OQV25"/>
      <c r="OQW25"/>
      <c r="OQX25"/>
      <c r="OQY25"/>
      <c r="OQZ25"/>
      <c r="ORA25"/>
      <c r="ORB25"/>
      <c r="ORC25"/>
      <c r="ORD25"/>
      <c r="ORE25"/>
      <c r="ORF25"/>
      <c r="ORG25"/>
      <c r="ORH25"/>
      <c r="ORI25"/>
      <c r="ORJ25"/>
      <c r="ORK25"/>
      <c r="ORL25"/>
      <c r="ORM25"/>
      <c r="ORN25"/>
      <c r="ORO25"/>
      <c r="ORP25"/>
      <c r="ORQ25"/>
      <c r="ORR25"/>
      <c r="ORS25"/>
      <c r="ORT25"/>
      <c r="ORU25"/>
      <c r="ORV25"/>
      <c r="ORW25"/>
      <c r="ORX25"/>
      <c r="ORY25"/>
      <c r="ORZ25"/>
      <c r="OSA25"/>
      <c r="OSB25"/>
      <c r="OSC25"/>
      <c r="OSD25"/>
      <c r="OSE25"/>
      <c r="OSF25"/>
      <c r="OSG25"/>
      <c r="OSH25"/>
      <c r="OSI25"/>
      <c r="OSJ25"/>
      <c r="OSK25"/>
      <c r="OSL25"/>
      <c r="OSM25"/>
      <c r="OSN25"/>
      <c r="OSO25"/>
      <c r="OSP25"/>
      <c r="OSQ25"/>
      <c r="OSR25"/>
      <c r="OSS25"/>
      <c r="OST25"/>
      <c r="OSU25"/>
      <c r="OSV25"/>
      <c r="OSW25"/>
      <c r="OSX25"/>
      <c r="OSY25"/>
      <c r="OSZ25"/>
      <c r="OTA25"/>
      <c r="OTB25"/>
      <c r="OTC25"/>
      <c r="OTD25"/>
      <c r="OTE25"/>
      <c r="OTF25"/>
      <c r="OTG25"/>
      <c r="OTH25"/>
      <c r="OTI25"/>
      <c r="OTJ25"/>
      <c r="OTK25"/>
      <c r="OTL25"/>
      <c r="OTM25"/>
      <c r="OTN25"/>
      <c r="OTO25"/>
      <c r="OTP25"/>
      <c r="OTQ25"/>
      <c r="OTR25"/>
      <c r="OTS25"/>
      <c r="OTT25"/>
      <c r="OTU25"/>
      <c r="OTV25"/>
      <c r="OTW25"/>
      <c r="OTX25"/>
      <c r="OTY25"/>
      <c r="OTZ25"/>
      <c r="OUA25"/>
      <c r="OUB25"/>
      <c r="OUC25"/>
      <c r="OUD25"/>
      <c r="OUE25"/>
      <c r="OUF25"/>
      <c r="OUG25"/>
      <c r="OUH25"/>
      <c r="OUI25"/>
      <c r="OUJ25"/>
      <c r="OUK25"/>
      <c r="OUL25"/>
      <c r="OUM25"/>
      <c r="OUN25"/>
      <c r="OUO25"/>
      <c r="OUP25"/>
      <c r="OUQ25"/>
      <c r="OUR25"/>
      <c r="OUS25"/>
      <c r="OUT25"/>
      <c r="OUU25"/>
      <c r="OUV25"/>
      <c r="OUW25"/>
      <c r="OUX25"/>
      <c r="OUY25"/>
      <c r="OUZ25"/>
      <c r="OVA25"/>
      <c r="OVB25"/>
      <c r="OVC25"/>
      <c r="OVD25"/>
      <c r="OVE25"/>
      <c r="OVF25"/>
      <c r="OVG25"/>
      <c r="OVH25"/>
      <c r="OVI25"/>
      <c r="OVJ25"/>
      <c r="OVK25"/>
      <c r="OVL25"/>
      <c r="OVM25"/>
      <c r="OVN25"/>
      <c r="OVO25"/>
      <c r="OVP25"/>
      <c r="OVQ25"/>
      <c r="OVR25"/>
      <c r="OVS25"/>
      <c r="OVT25"/>
      <c r="OVU25"/>
      <c r="OVV25"/>
      <c r="OVW25"/>
      <c r="OVX25"/>
      <c r="OVY25"/>
      <c r="OVZ25"/>
      <c r="OWA25"/>
      <c r="OWB25"/>
      <c r="OWC25"/>
      <c r="OWD25"/>
      <c r="OWE25"/>
      <c r="OWF25"/>
      <c r="OWG25"/>
      <c r="OWH25"/>
      <c r="OWI25"/>
      <c r="OWJ25"/>
      <c r="OWK25"/>
      <c r="OWL25"/>
      <c r="OWM25"/>
      <c r="OWN25"/>
      <c r="OWO25"/>
      <c r="OWP25"/>
      <c r="OWQ25"/>
      <c r="OWR25"/>
      <c r="OWS25"/>
      <c r="OWT25"/>
      <c r="OWU25"/>
      <c r="OWV25"/>
      <c r="OWW25"/>
      <c r="OWX25"/>
      <c r="OWY25"/>
      <c r="OWZ25"/>
      <c r="OXA25"/>
      <c r="OXB25"/>
      <c r="OXC25"/>
      <c r="OXD25"/>
      <c r="OXE25"/>
      <c r="OXF25"/>
      <c r="OXG25"/>
      <c r="OXH25"/>
      <c r="OXI25"/>
      <c r="OXJ25"/>
      <c r="OXK25"/>
      <c r="OXL25"/>
      <c r="OXM25"/>
      <c r="OXN25"/>
      <c r="OXO25"/>
      <c r="OXP25"/>
      <c r="OXQ25"/>
      <c r="OXR25"/>
      <c r="OXS25"/>
      <c r="OXT25"/>
      <c r="OXU25"/>
      <c r="OXV25"/>
      <c r="OXW25"/>
      <c r="OXX25"/>
      <c r="OXY25"/>
      <c r="OXZ25"/>
      <c r="OYA25"/>
      <c r="OYB25"/>
      <c r="OYC25"/>
      <c r="OYD25"/>
      <c r="OYE25"/>
      <c r="OYF25"/>
      <c r="OYG25"/>
      <c r="OYH25"/>
      <c r="OYI25"/>
      <c r="OYJ25"/>
      <c r="OYK25"/>
      <c r="OYL25"/>
      <c r="OYM25"/>
      <c r="OYN25"/>
      <c r="OYO25"/>
      <c r="OYP25"/>
      <c r="OYQ25"/>
      <c r="OYR25"/>
      <c r="OYS25"/>
      <c r="OYT25"/>
      <c r="OYU25"/>
      <c r="OYV25"/>
      <c r="OYW25"/>
      <c r="OYX25"/>
      <c r="OYY25"/>
      <c r="OYZ25"/>
      <c r="OZA25"/>
      <c r="OZB25"/>
      <c r="OZC25"/>
      <c r="OZD25"/>
      <c r="OZE25"/>
      <c r="OZF25"/>
      <c r="OZG25"/>
      <c r="OZH25"/>
      <c r="OZI25"/>
      <c r="OZJ25"/>
      <c r="OZK25"/>
      <c r="OZL25"/>
      <c r="OZM25"/>
      <c r="OZN25"/>
      <c r="OZO25"/>
      <c r="OZP25"/>
      <c r="OZQ25"/>
      <c r="OZR25"/>
      <c r="OZS25"/>
      <c r="OZT25"/>
      <c r="OZU25"/>
      <c r="OZV25"/>
      <c r="OZW25"/>
      <c r="OZX25"/>
      <c r="OZY25"/>
      <c r="OZZ25"/>
      <c r="PAA25"/>
      <c r="PAB25"/>
      <c r="PAC25"/>
      <c r="PAD25"/>
      <c r="PAE25"/>
      <c r="PAF25"/>
      <c r="PAG25"/>
      <c r="PAH25"/>
      <c r="PAI25"/>
      <c r="PAJ25"/>
      <c r="PAK25"/>
      <c r="PAL25"/>
      <c r="PAM25"/>
      <c r="PAN25"/>
      <c r="PAO25"/>
      <c r="PAP25"/>
      <c r="PAQ25"/>
      <c r="PAR25"/>
      <c r="PAS25"/>
      <c r="PAT25"/>
      <c r="PAU25"/>
      <c r="PAV25"/>
      <c r="PAW25"/>
      <c r="PAX25"/>
      <c r="PAY25"/>
      <c r="PAZ25"/>
      <c r="PBA25"/>
      <c r="PBB25"/>
      <c r="PBC25"/>
      <c r="PBD25"/>
      <c r="PBE25"/>
      <c r="PBF25"/>
      <c r="PBG25"/>
      <c r="PBH25"/>
      <c r="PBI25"/>
      <c r="PBJ25"/>
      <c r="PBK25"/>
      <c r="PBL25"/>
      <c r="PBM25"/>
      <c r="PBN25"/>
      <c r="PBO25"/>
      <c r="PBP25"/>
      <c r="PBQ25"/>
      <c r="PBR25"/>
      <c r="PBS25"/>
      <c r="PBT25"/>
      <c r="PBU25"/>
      <c r="PBV25"/>
      <c r="PBW25"/>
      <c r="PBX25"/>
      <c r="PBY25"/>
      <c r="PBZ25"/>
      <c r="PCA25"/>
      <c r="PCB25"/>
      <c r="PCC25"/>
      <c r="PCD25"/>
      <c r="PCE25"/>
      <c r="PCF25"/>
      <c r="PCG25"/>
      <c r="PCH25"/>
      <c r="PCI25"/>
      <c r="PCJ25"/>
      <c r="PCK25"/>
      <c r="PCL25"/>
      <c r="PCM25"/>
      <c r="PCN25"/>
      <c r="PCO25"/>
      <c r="PCP25"/>
      <c r="PCQ25"/>
      <c r="PCR25"/>
      <c r="PCS25"/>
      <c r="PCT25"/>
      <c r="PCU25"/>
      <c r="PCV25"/>
      <c r="PCW25"/>
      <c r="PCX25"/>
      <c r="PCY25"/>
      <c r="PCZ25"/>
      <c r="PDA25"/>
      <c r="PDB25"/>
      <c r="PDC25"/>
      <c r="PDD25"/>
      <c r="PDE25"/>
      <c r="PDF25"/>
      <c r="PDG25"/>
      <c r="PDH25"/>
      <c r="PDI25"/>
      <c r="PDJ25"/>
      <c r="PDK25"/>
      <c r="PDL25"/>
      <c r="PDM25"/>
      <c r="PDN25"/>
      <c r="PDO25"/>
      <c r="PDP25"/>
      <c r="PDQ25"/>
      <c r="PDR25"/>
      <c r="PDS25"/>
      <c r="PDT25"/>
      <c r="PDU25"/>
      <c r="PDV25"/>
      <c r="PDW25"/>
      <c r="PDX25"/>
      <c r="PDY25"/>
      <c r="PDZ25"/>
      <c r="PEA25"/>
      <c r="PEB25"/>
      <c r="PEC25"/>
      <c r="PED25"/>
      <c r="PEE25"/>
      <c r="PEF25"/>
      <c r="PEG25"/>
      <c r="PEH25"/>
      <c r="PEI25"/>
      <c r="PEJ25"/>
      <c r="PEK25"/>
      <c r="PEL25"/>
      <c r="PEM25"/>
      <c r="PEN25"/>
      <c r="PEO25"/>
      <c r="PEP25"/>
      <c r="PEQ25"/>
      <c r="PER25"/>
      <c r="PES25"/>
      <c r="PET25"/>
      <c r="PEU25"/>
      <c r="PEV25"/>
      <c r="PEW25"/>
      <c r="PEX25"/>
      <c r="PEY25"/>
      <c r="PEZ25"/>
      <c r="PFA25"/>
      <c r="PFB25"/>
      <c r="PFC25"/>
      <c r="PFD25"/>
      <c r="PFE25"/>
      <c r="PFF25"/>
      <c r="PFG25"/>
      <c r="PFH25"/>
      <c r="PFI25"/>
      <c r="PFJ25"/>
      <c r="PFK25"/>
      <c r="PFL25"/>
      <c r="PFM25"/>
      <c r="PFN25"/>
      <c r="PFO25"/>
      <c r="PFP25"/>
      <c r="PFQ25"/>
      <c r="PFR25"/>
      <c r="PFS25"/>
      <c r="PFT25"/>
      <c r="PFU25"/>
      <c r="PFV25"/>
      <c r="PFW25"/>
      <c r="PFX25"/>
      <c r="PFY25"/>
      <c r="PFZ25"/>
      <c r="PGA25"/>
      <c r="PGB25"/>
      <c r="PGC25"/>
      <c r="PGD25"/>
      <c r="PGE25"/>
      <c r="PGF25"/>
      <c r="PGG25"/>
      <c r="PGH25"/>
      <c r="PGI25"/>
      <c r="PGJ25"/>
      <c r="PGK25"/>
      <c r="PGL25"/>
      <c r="PGM25"/>
      <c r="PGN25"/>
      <c r="PGO25"/>
      <c r="PGP25"/>
      <c r="PGQ25"/>
      <c r="PGR25"/>
      <c r="PGS25"/>
      <c r="PGT25"/>
      <c r="PGU25"/>
      <c r="PGV25"/>
      <c r="PGW25"/>
      <c r="PGX25"/>
      <c r="PGY25"/>
      <c r="PGZ25"/>
      <c r="PHA25"/>
      <c r="PHB25"/>
      <c r="PHC25"/>
      <c r="PHD25"/>
      <c r="PHE25"/>
      <c r="PHF25"/>
      <c r="PHG25"/>
      <c r="PHH25"/>
      <c r="PHI25"/>
      <c r="PHJ25"/>
      <c r="PHK25"/>
      <c r="PHL25"/>
      <c r="PHM25"/>
      <c r="PHN25"/>
      <c r="PHO25"/>
      <c r="PHP25"/>
      <c r="PHQ25"/>
      <c r="PHR25"/>
      <c r="PHS25"/>
      <c r="PHT25"/>
      <c r="PHU25"/>
      <c r="PHV25"/>
      <c r="PHW25"/>
      <c r="PHX25"/>
      <c r="PHY25"/>
      <c r="PHZ25"/>
      <c r="PIA25"/>
      <c r="PIB25"/>
      <c r="PIC25"/>
      <c r="PID25"/>
      <c r="PIE25"/>
      <c r="PIF25"/>
      <c r="PIG25"/>
      <c r="PIH25"/>
      <c r="PII25"/>
      <c r="PIJ25"/>
      <c r="PIK25"/>
      <c r="PIL25"/>
      <c r="PIM25"/>
      <c r="PIN25"/>
      <c r="PIO25"/>
      <c r="PIP25"/>
      <c r="PIQ25"/>
      <c r="PIR25"/>
      <c r="PIS25"/>
      <c r="PIT25"/>
      <c r="PIU25"/>
      <c r="PIV25"/>
      <c r="PIW25"/>
      <c r="PIX25"/>
      <c r="PIY25"/>
      <c r="PIZ25"/>
      <c r="PJA25"/>
      <c r="PJB25"/>
      <c r="PJC25"/>
      <c r="PJD25"/>
      <c r="PJE25"/>
      <c r="PJF25"/>
      <c r="PJG25"/>
      <c r="PJH25"/>
      <c r="PJI25"/>
      <c r="PJJ25"/>
      <c r="PJK25"/>
      <c r="PJL25"/>
      <c r="PJM25"/>
      <c r="PJN25"/>
      <c r="PJO25"/>
      <c r="PJP25"/>
      <c r="PJQ25"/>
      <c r="PJR25"/>
      <c r="PJS25"/>
      <c r="PJT25"/>
      <c r="PJU25"/>
      <c r="PJV25"/>
      <c r="PJW25"/>
      <c r="PJX25"/>
      <c r="PJY25"/>
      <c r="PJZ25"/>
      <c r="PKA25"/>
      <c r="PKB25"/>
      <c r="PKC25"/>
      <c r="PKD25"/>
      <c r="PKE25"/>
      <c r="PKF25"/>
      <c r="PKG25"/>
      <c r="PKH25"/>
      <c r="PKI25"/>
      <c r="PKJ25"/>
      <c r="PKK25"/>
      <c r="PKL25"/>
      <c r="PKM25"/>
      <c r="PKN25"/>
      <c r="PKO25"/>
      <c r="PKP25"/>
      <c r="PKQ25"/>
      <c r="PKR25"/>
      <c r="PKS25"/>
      <c r="PKT25"/>
      <c r="PKU25"/>
      <c r="PKV25"/>
      <c r="PKW25"/>
      <c r="PKX25"/>
      <c r="PKY25"/>
      <c r="PKZ25"/>
      <c r="PLA25"/>
      <c r="PLB25"/>
      <c r="PLC25"/>
      <c r="PLD25"/>
      <c r="PLE25"/>
      <c r="PLF25"/>
      <c r="PLG25"/>
      <c r="PLH25"/>
      <c r="PLI25"/>
      <c r="PLJ25"/>
      <c r="PLK25"/>
      <c r="PLL25"/>
      <c r="PLM25"/>
      <c r="PLN25"/>
      <c r="PLO25"/>
      <c r="PLP25"/>
      <c r="PLQ25"/>
      <c r="PLR25"/>
      <c r="PLS25"/>
      <c r="PLT25"/>
      <c r="PLU25"/>
      <c r="PLV25"/>
      <c r="PLW25"/>
      <c r="PLX25"/>
      <c r="PLY25"/>
      <c r="PLZ25"/>
      <c r="PMA25"/>
      <c r="PMB25"/>
      <c r="PMC25"/>
      <c r="PMD25"/>
      <c r="PME25"/>
      <c r="PMF25"/>
      <c r="PMG25"/>
      <c r="PMH25"/>
      <c r="PMI25"/>
      <c r="PMJ25"/>
      <c r="PMK25"/>
      <c r="PML25"/>
      <c r="PMM25"/>
      <c r="PMN25"/>
      <c r="PMO25"/>
      <c r="PMP25"/>
      <c r="PMQ25"/>
      <c r="PMR25"/>
      <c r="PMS25"/>
      <c r="PMT25"/>
      <c r="PMU25"/>
      <c r="PMV25"/>
      <c r="PMW25"/>
      <c r="PMX25"/>
      <c r="PMY25"/>
      <c r="PMZ25"/>
      <c r="PNA25"/>
      <c r="PNB25"/>
      <c r="PNC25"/>
      <c r="PND25"/>
      <c r="PNE25"/>
      <c r="PNF25"/>
      <c r="PNG25"/>
      <c r="PNH25"/>
      <c r="PNI25"/>
      <c r="PNJ25"/>
      <c r="PNK25"/>
      <c r="PNL25"/>
      <c r="PNM25"/>
      <c r="PNN25"/>
      <c r="PNO25"/>
      <c r="PNP25"/>
      <c r="PNQ25"/>
      <c r="PNR25"/>
      <c r="PNS25"/>
      <c r="PNT25"/>
      <c r="PNU25"/>
      <c r="PNV25"/>
      <c r="PNW25"/>
      <c r="PNX25"/>
      <c r="PNY25"/>
      <c r="PNZ25"/>
      <c r="POA25"/>
      <c r="POB25"/>
      <c r="POC25"/>
      <c r="POD25"/>
      <c r="POE25"/>
      <c r="POF25"/>
      <c r="POG25"/>
      <c r="POH25"/>
      <c r="POI25"/>
      <c r="POJ25"/>
      <c r="POK25"/>
      <c r="POL25"/>
      <c r="POM25"/>
      <c r="PON25"/>
      <c r="POO25"/>
      <c r="POP25"/>
      <c r="POQ25"/>
      <c r="POR25"/>
      <c r="POS25"/>
      <c r="POT25"/>
      <c r="POU25"/>
      <c r="POV25"/>
      <c r="POW25"/>
      <c r="POX25"/>
      <c r="POY25"/>
      <c r="POZ25"/>
      <c r="PPA25"/>
      <c r="PPB25"/>
      <c r="PPC25"/>
      <c r="PPD25"/>
      <c r="PPE25"/>
      <c r="PPF25"/>
      <c r="PPG25"/>
      <c r="PPH25"/>
      <c r="PPI25"/>
      <c r="PPJ25"/>
      <c r="PPK25"/>
      <c r="PPL25"/>
      <c r="PPM25"/>
      <c r="PPN25"/>
      <c r="PPO25"/>
      <c r="PPP25"/>
      <c r="PPQ25"/>
      <c r="PPR25"/>
      <c r="PPS25"/>
      <c r="PPT25"/>
      <c r="PPU25"/>
      <c r="PPV25"/>
      <c r="PPW25"/>
      <c r="PPX25"/>
      <c r="PPY25"/>
      <c r="PPZ25"/>
      <c r="PQA25"/>
      <c r="PQB25"/>
      <c r="PQC25"/>
      <c r="PQD25"/>
      <c r="PQE25"/>
      <c r="PQF25"/>
      <c r="PQG25"/>
      <c r="PQH25"/>
      <c r="PQI25"/>
      <c r="PQJ25"/>
      <c r="PQK25"/>
      <c r="PQL25"/>
      <c r="PQM25"/>
      <c r="PQN25"/>
      <c r="PQO25"/>
      <c r="PQP25"/>
      <c r="PQQ25"/>
      <c r="PQR25"/>
      <c r="PQS25"/>
      <c r="PQT25"/>
      <c r="PQU25"/>
      <c r="PQV25"/>
      <c r="PQW25"/>
      <c r="PQX25"/>
      <c r="PQY25"/>
      <c r="PQZ25"/>
      <c r="PRA25"/>
      <c r="PRB25"/>
      <c r="PRC25"/>
      <c r="PRD25"/>
      <c r="PRE25"/>
      <c r="PRF25"/>
      <c r="PRG25"/>
      <c r="PRH25"/>
      <c r="PRI25"/>
      <c r="PRJ25"/>
      <c r="PRK25"/>
      <c r="PRL25"/>
      <c r="PRM25"/>
      <c r="PRN25"/>
      <c r="PRO25"/>
      <c r="PRP25"/>
      <c r="PRQ25"/>
      <c r="PRR25"/>
      <c r="PRS25"/>
      <c r="PRT25"/>
      <c r="PRU25"/>
      <c r="PRV25"/>
      <c r="PRW25"/>
      <c r="PRX25"/>
      <c r="PRY25"/>
      <c r="PRZ25"/>
      <c r="PSA25"/>
      <c r="PSB25"/>
      <c r="PSC25"/>
      <c r="PSD25"/>
      <c r="PSE25"/>
      <c r="PSF25"/>
      <c r="PSG25"/>
      <c r="PSH25"/>
      <c r="PSI25"/>
      <c r="PSJ25"/>
      <c r="PSK25"/>
      <c r="PSL25"/>
      <c r="PSM25"/>
      <c r="PSN25"/>
      <c r="PSO25"/>
      <c r="PSP25"/>
      <c r="PSQ25"/>
      <c r="PSR25"/>
      <c r="PSS25"/>
      <c r="PST25"/>
      <c r="PSU25"/>
      <c r="PSV25"/>
      <c r="PSW25"/>
      <c r="PSX25"/>
      <c r="PSY25"/>
      <c r="PSZ25"/>
      <c r="PTA25"/>
      <c r="PTB25"/>
      <c r="PTC25"/>
      <c r="PTD25"/>
      <c r="PTE25"/>
      <c r="PTF25"/>
      <c r="PTG25"/>
      <c r="PTH25"/>
      <c r="PTI25"/>
      <c r="PTJ25"/>
      <c r="PTK25"/>
      <c r="PTL25"/>
      <c r="PTM25"/>
      <c r="PTN25"/>
      <c r="PTO25"/>
      <c r="PTP25"/>
      <c r="PTQ25"/>
      <c r="PTR25"/>
      <c r="PTS25"/>
      <c r="PTT25"/>
      <c r="PTU25"/>
      <c r="PTV25"/>
      <c r="PTW25"/>
      <c r="PTX25"/>
      <c r="PTY25"/>
      <c r="PTZ25"/>
      <c r="PUA25"/>
      <c r="PUB25"/>
      <c r="PUC25"/>
      <c r="PUD25"/>
      <c r="PUE25"/>
      <c r="PUF25"/>
      <c r="PUG25"/>
      <c r="PUH25"/>
      <c r="PUI25"/>
      <c r="PUJ25"/>
      <c r="PUK25"/>
      <c r="PUL25"/>
      <c r="PUM25"/>
      <c r="PUN25"/>
      <c r="PUO25"/>
      <c r="PUP25"/>
      <c r="PUQ25"/>
      <c r="PUR25"/>
      <c r="PUS25"/>
      <c r="PUT25"/>
      <c r="PUU25"/>
      <c r="PUV25"/>
      <c r="PUW25"/>
      <c r="PUX25"/>
      <c r="PUY25"/>
      <c r="PUZ25"/>
      <c r="PVA25"/>
      <c r="PVB25"/>
      <c r="PVC25"/>
      <c r="PVD25"/>
      <c r="PVE25"/>
      <c r="PVF25"/>
      <c r="PVG25"/>
      <c r="PVH25"/>
      <c r="PVI25"/>
      <c r="PVJ25"/>
      <c r="PVK25"/>
      <c r="PVL25"/>
      <c r="PVM25"/>
      <c r="PVN25"/>
      <c r="PVO25"/>
      <c r="PVP25"/>
      <c r="PVQ25"/>
      <c r="PVR25"/>
      <c r="PVS25"/>
      <c r="PVT25"/>
      <c r="PVU25"/>
      <c r="PVV25"/>
      <c r="PVW25"/>
      <c r="PVX25"/>
      <c r="PVY25"/>
      <c r="PVZ25"/>
      <c r="PWA25"/>
      <c r="PWB25"/>
      <c r="PWC25"/>
      <c r="PWD25"/>
      <c r="PWE25"/>
      <c r="PWF25"/>
      <c r="PWG25"/>
      <c r="PWH25"/>
      <c r="PWI25"/>
      <c r="PWJ25"/>
      <c r="PWK25"/>
      <c r="PWL25"/>
      <c r="PWM25"/>
      <c r="PWN25"/>
      <c r="PWO25"/>
      <c r="PWP25"/>
      <c r="PWQ25"/>
      <c r="PWR25"/>
      <c r="PWS25"/>
      <c r="PWT25"/>
      <c r="PWU25"/>
      <c r="PWV25"/>
      <c r="PWW25"/>
      <c r="PWX25"/>
      <c r="PWY25"/>
      <c r="PWZ25"/>
      <c r="PXA25"/>
      <c r="PXB25"/>
      <c r="PXC25"/>
      <c r="PXD25"/>
      <c r="PXE25"/>
      <c r="PXF25"/>
      <c r="PXG25"/>
      <c r="PXH25"/>
      <c r="PXI25"/>
      <c r="PXJ25"/>
      <c r="PXK25"/>
      <c r="PXL25"/>
      <c r="PXM25"/>
      <c r="PXN25"/>
      <c r="PXO25"/>
      <c r="PXP25"/>
      <c r="PXQ25"/>
      <c r="PXR25"/>
      <c r="PXS25"/>
      <c r="PXT25"/>
      <c r="PXU25"/>
      <c r="PXV25"/>
      <c r="PXW25"/>
      <c r="PXX25"/>
      <c r="PXY25"/>
      <c r="PXZ25"/>
      <c r="PYA25"/>
      <c r="PYB25"/>
      <c r="PYC25"/>
      <c r="PYD25"/>
      <c r="PYE25"/>
      <c r="PYF25"/>
      <c r="PYG25"/>
      <c r="PYH25"/>
      <c r="PYI25"/>
      <c r="PYJ25"/>
      <c r="PYK25"/>
      <c r="PYL25"/>
      <c r="PYM25"/>
      <c r="PYN25"/>
      <c r="PYO25"/>
      <c r="PYP25"/>
      <c r="PYQ25"/>
      <c r="PYR25"/>
      <c r="PYS25"/>
      <c r="PYT25"/>
      <c r="PYU25"/>
      <c r="PYV25"/>
      <c r="PYW25"/>
      <c r="PYX25"/>
      <c r="PYY25"/>
      <c r="PYZ25"/>
      <c r="PZA25"/>
      <c r="PZB25"/>
      <c r="PZC25"/>
      <c r="PZD25"/>
      <c r="PZE25"/>
      <c r="PZF25"/>
      <c r="PZG25"/>
      <c r="PZH25"/>
      <c r="PZI25"/>
      <c r="PZJ25"/>
      <c r="PZK25"/>
      <c r="PZL25"/>
      <c r="PZM25"/>
      <c r="PZN25"/>
      <c r="PZO25"/>
      <c r="PZP25"/>
      <c r="PZQ25"/>
      <c r="PZR25"/>
      <c r="PZS25"/>
      <c r="PZT25"/>
      <c r="PZU25"/>
      <c r="PZV25"/>
      <c r="PZW25"/>
      <c r="PZX25"/>
      <c r="PZY25"/>
      <c r="PZZ25"/>
      <c r="QAA25"/>
      <c r="QAB25"/>
      <c r="QAC25"/>
      <c r="QAD25"/>
      <c r="QAE25"/>
      <c r="QAF25"/>
      <c r="QAG25"/>
      <c r="QAH25"/>
      <c r="QAI25"/>
      <c r="QAJ25"/>
      <c r="QAK25"/>
      <c r="QAL25"/>
      <c r="QAM25"/>
      <c r="QAN25"/>
      <c r="QAO25"/>
      <c r="QAP25"/>
      <c r="QAQ25"/>
      <c r="QAR25"/>
      <c r="QAS25"/>
      <c r="QAT25"/>
      <c r="QAU25"/>
      <c r="QAV25"/>
      <c r="QAW25"/>
      <c r="QAX25"/>
      <c r="QAY25"/>
      <c r="QAZ25"/>
      <c r="QBA25"/>
      <c r="QBB25"/>
      <c r="QBC25"/>
      <c r="QBD25"/>
      <c r="QBE25"/>
      <c r="QBF25"/>
      <c r="QBG25"/>
      <c r="QBH25"/>
      <c r="QBI25"/>
      <c r="QBJ25"/>
      <c r="QBK25"/>
      <c r="QBL25"/>
      <c r="QBM25"/>
      <c r="QBN25"/>
      <c r="QBO25"/>
      <c r="QBP25"/>
      <c r="QBQ25"/>
      <c r="QBR25"/>
      <c r="QBS25"/>
      <c r="QBT25"/>
      <c r="QBU25"/>
      <c r="QBV25"/>
      <c r="QBW25"/>
      <c r="QBX25"/>
      <c r="QBY25"/>
      <c r="QBZ25"/>
      <c r="QCA25"/>
      <c r="QCB25"/>
      <c r="QCC25"/>
      <c r="QCD25"/>
      <c r="QCE25"/>
      <c r="QCF25"/>
      <c r="QCG25"/>
      <c r="QCH25"/>
      <c r="QCI25"/>
      <c r="QCJ25"/>
      <c r="QCK25"/>
      <c r="QCL25"/>
      <c r="QCM25"/>
      <c r="QCN25"/>
      <c r="QCO25"/>
      <c r="QCP25"/>
      <c r="QCQ25"/>
      <c r="QCR25"/>
      <c r="QCS25"/>
      <c r="QCT25"/>
      <c r="QCU25"/>
      <c r="QCV25"/>
      <c r="QCW25"/>
      <c r="QCX25"/>
      <c r="QCY25"/>
      <c r="QCZ25"/>
      <c r="QDA25"/>
      <c r="QDB25"/>
      <c r="QDC25"/>
      <c r="QDD25"/>
      <c r="QDE25"/>
      <c r="QDF25"/>
      <c r="QDG25"/>
      <c r="QDH25"/>
      <c r="QDI25"/>
      <c r="QDJ25"/>
      <c r="QDK25"/>
      <c r="QDL25"/>
      <c r="QDM25"/>
      <c r="QDN25"/>
      <c r="QDO25"/>
      <c r="QDP25"/>
      <c r="QDQ25"/>
      <c r="QDR25"/>
      <c r="QDS25"/>
      <c r="QDT25"/>
      <c r="QDU25"/>
      <c r="QDV25"/>
      <c r="QDW25"/>
      <c r="QDX25"/>
      <c r="QDY25"/>
      <c r="QDZ25"/>
      <c r="QEA25"/>
      <c r="QEB25"/>
      <c r="QEC25"/>
      <c r="QED25"/>
      <c r="QEE25"/>
      <c r="QEF25"/>
      <c r="QEG25"/>
      <c r="QEH25"/>
      <c r="QEI25"/>
      <c r="QEJ25"/>
      <c r="QEK25"/>
      <c r="QEL25"/>
      <c r="QEM25"/>
      <c r="QEN25"/>
      <c r="QEO25"/>
      <c r="QEP25"/>
      <c r="QEQ25"/>
      <c r="QER25"/>
      <c r="QES25"/>
      <c r="QET25"/>
      <c r="QEU25"/>
      <c r="QEV25"/>
      <c r="QEW25"/>
      <c r="QEX25"/>
      <c r="QEY25"/>
      <c r="QEZ25"/>
      <c r="QFA25"/>
      <c r="QFB25"/>
      <c r="QFC25"/>
      <c r="QFD25"/>
      <c r="QFE25"/>
      <c r="QFF25"/>
      <c r="QFG25"/>
      <c r="QFH25"/>
      <c r="QFI25"/>
      <c r="QFJ25"/>
      <c r="QFK25"/>
      <c r="QFL25"/>
      <c r="QFM25"/>
      <c r="QFN25"/>
      <c r="QFO25"/>
      <c r="QFP25"/>
      <c r="QFQ25"/>
      <c r="QFR25"/>
      <c r="QFS25"/>
      <c r="QFT25"/>
      <c r="QFU25"/>
      <c r="QFV25"/>
      <c r="QFW25"/>
      <c r="QFX25"/>
      <c r="QFY25"/>
      <c r="QFZ25"/>
      <c r="QGA25"/>
      <c r="QGB25"/>
      <c r="QGC25"/>
      <c r="QGD25"/>
      <c r="QGE25"/>
      <c r="QGF25"/>
      <c r="QGG25"/>
      <c r="QGH25"/>
      <c r="QGI25"/>
      <c r="QGJ25"/>
      <c r="QGK25"/>
      <c r="QGL25"/>
      <c r="QGM25"/>
      <c r="QGN25"/>
      <c r="QGO25"/>
      <c r="QGP25"/>
      <c r="QGQ25"/>
      <c r="QGR25"/>
      <c r="QGS25"/>
      <c r="QGT25"/>
      <c r="QGU25"/>
      <c r="QGV25"/>
      <c r="QGW25"/>
      <c r="QGX25"/>
      <c r="QGY25"/>
      <c r="QGZ25"/>
      <c r="QHA25"/>
      <c r="QHB25"/>
      <c r="QHC25"/>
      <c r="QHD25"/>
      <c r="QHE25"/>
      <c r="QHF25"/>
      <c r="QHG25"/>
      <c r="QHH25"/>
      <c r="QHI25"/>
      <c r="QHJ25"/>
      <c r="QHK25"/>
      <c r="QHL25"/>
      <c r="QHM25"/>
      <c r="QHN25"/>
      <c r="QHO25"/>
      <c r="QHP25"/>
      <c r="QHQ25"/>
      <c r="QHR25"/>
      <c r="QHS25"/>
      <c r="QHT25"/>
      <c r="QHU25"/>
      <c r="QHV25"/>
      <c r="QHW25"/>
      <c r="QHX25"/>
      <c r="QHY25"/>
      <c r="QHZ25"/>
      <c r="QIA25"/>
      <c r="QIB25"/>
      <c r="QIC25"/>
      <c r="QID25"/>
      <c r="QIE25"/>
      <c r="QIF25"/>
      <c r="QIG25"/>
      <c r="QIH25"/>
      <c r="QII25"/>
      <c r="QIJ25"/>
      <c r="QIK25"/>
      <c r="QIL25"/>
      <c r="QIM25"/>
      <c r="QIN25"/>
      <c r="QIO25"/>
      <c r="QIP25"/>
      <c r="QIQ25"/>
      <c r="QIR25"/>
      <c r="QIS25"/>
      <c r="QIT25"/>
      <c r="QIU25"/>
      <c r="QIV25"/>
      <c r="QIW25"/>
      <c r="QIX25"/>
      <c r="QIY25"/>
      <c r="QIZ25"/>
      <c r="QJA25"/>
      <c r="QJB25"/>
      <c r="QJC25"/>
      <c r="QJD25"/>
      <c r="QJE25"/>
      <c r="QJF25"/>
      <c r="QJG25"/>
      <c r="QJH25"/>
      <c r="QJI25"/>
      <c r="QJJ25"/>
      <c r="QJK25"/>
      <c r="QJL25"/>
      <c r="QJM25"/>
      <c r="QJN25"/>
      <c r="QJO25"/>
      <c r="QJP25"/>
      <c r="QJQ25"/>
      <c r="QJR25"/>
      <c r="QJS25"/>
      <c r="QJT25"/>
      <c r="QJU25"/>
      <c r="QJV25"/>
      <c r="QJW25"/>
      <c r="QJX25"/>
      <c r="QJY25"/>
      <c r="QJZ25"/>
      <c r="QKA25"/>
      <c r="QKB25"/>
      <c r="QKC25"/>
      <c r="QKD25"/>
      <c r="QKE25"/>
      <c r="QKF25"/>
      <c r="QKG25"/>
      <c r="QKH25"/>
      <c r="QKI25"/>
      <c r="QKJ25"/>
      <c r="QKK25"/>
      <c r="QKL25"/>
      <c r="QKM25"/>
      <c r="QKN25"/>
      <c r="QKO25"/>
      <c r="QKP25"/>
      <c r="QKQ25"/>
      <c r="QKR25"/>
      <c r="QKS25"/>
      <c r="QKT25"/>
      <c r="QKU25"/>
      <c r="QKV25"/>
      <c r="QKW25"/>
      <c r="QKX25"/>
      <c r="QKY25"/>
      <c r="QKZ25"/>
      <c r="QLA25"/>
      <c r="QLB25"/>
      <c r="QLC25"/>
      <c r="QLD25"/>
      <c r="QLE25"/>
      <c r="QLF25"/>
      <c r="QLG25"/>
      <c r="QLH25"/>
      <c r="QLI25"/>
      <c r="QLJ25"/>
      <c r="QLK25"/>
      <c r="QLL25"/>
      <c r="QLM25"/>
      <c r="QLN25"/>
      <c r="QLO25"/>
      <c r="QLP25"/>
      <c r="QLQ25"/>
      <c r="QLR25"/>
      <c r="QLS25"/>
      <c r="QLT25"/>
      <c r="QLU25"/>
      <c r="QLV25"/>
      <c r="QLW25"/>
      <c r="QLX25"/>
      <c r="QLY25"/>
      <c r="QLZ25"/>
      <c r="QMA25"/>
      <c r="QMB25"/>
      <c r="QMC25"/>
      <c r="QMD25"/>
      <c r="QME25"/>
      <c r="QMF25"/>
      <c r="QMG25"/>
      <c r="QMH25"/>
      <c r="QMI25"/>
      <c r="QMJ25"/>
      <c r="QMK25"/>
      <c r="QML25"/>
      <c r="QMM25"/>
      <c r="QMN25"/>
      <c r="QMO25"/>
      <c r="QMP25"/>
      <c r="QMQ25"/>
      <c r="QMR25"/>
      <c r="QMS25"/>
      <c r="QMT25"/>
      <c r="QMU25"/>
      <c r="QMV25"/>
      <c r="QMW25"/>
      <c r="QMX25"/>
      <c r="QMY25"/>
      <c r="QMZ25"/>
      <c r="QNA25"/>
      <c r="QNB25"/>
      <c r="QNC25"/>
      <c r="QND25"/>
      <c r="QNE25"/>
      <c r="QNF25"/>
      <c r="QNG25"/>
      <c r="QNH25"/>
      <c r="QNI25"/>
      <c r="QNJ25"/>
      <c r="QNK25"/>
      <c r="QNL25"/>
      <c r="QNM25"/>
      <c r="QNN25"/>
      <c r="QNO25"/>
      <c r="QNP25"/>
      <c r="QNQ25"/>
      <c r="QNR25"/>
      <c r="QNS25"/>
      <c r="QNT25"/>
      <c r="QNU25"/>
      <c r="QNV25"/>
      <c r="QNW25"/>
      <c r="QNX25"/>
      <c r="QNY25"/>
      <c r="QNZ25"/>
      <c r="QOA25"/>
      <c r="QOB25"/>
      <c r="QOC25"/>
      <c r="QOD25"/>
      <c r="QOE25"/>
      <c r="QOF25"/>
      <c r="QOG25"/>
      <c r="QOH25"/>
      <c r="QOI25"/>
      <c r="QOJ25"/>
      <c r="QOK25"/>
      <c r="QOL25"/>
      <c r="QOM25"/>
      <c r="QON25"/>
      <c r="QOO25"/>
      <c r="QOP25"/>
      <c r="QOQ25"/>
      <c r="QOR25"/>
      <c r="QOS25"/>
      <c r="QOT25"/>
      <c r="QOU25"/>
      <c r="QOV25"/>
      <c r="QOW25"/>
      <c r="QOX25"/>
      <c r="QOY25"/>
      <c r="QOZ25"/>
      <c r="QPA25"/>
      <c r="QPB25"/>
      <c r="QPC25"/>
      <c r="QPD25"/>
      <c r="QPE25"/>
      <c r="QPF25"/>
      <c r="QPG25"/>
      <c r="QPH25"/>
      <c r="QPI25"/>
      <c r="QPJ25"/>
      <c r="QPK25"/>
      <c r="QPL25"/>
      <c r="QPM25"/>
      <c r="QPN25"/>
      <c r="QPO25"/>
      <c r="QPP25"/>
      <c r="QPQ25"/>
      <c r="QPR25"/>
      <c r="QPS25"/>
      <c r="QPT25"/>
      <c r="QPU25"/>
      <c r="QPV25"/>
      <c r="QPW25"/>
      <c r="QPX25"/>
      <c r="QPY25"/>
      <c r="QPZ25"/>
      <c r="QQA25"/>
      <c r="QQB25"/>
      <c r="QQC25"/>
      <c r="QQD25"/>
      <c r="QQE25"/>
      <c r="QQF25"/>
      <c r="QQG25"/>
      <c r="QQH25"/>
      <c r="QQI25"/>
      <c r="QQJ25"/>
      <c r="QQK25"/>
      <c r="QQL25"/>
      <c r="QQM25"/>
      <c r="QQN25"/>
      <c r="QQO25"/>
      <c r="QQP25"/>
      <c r="QQQ25"/>
      <c r="QQR25"/>
      <c r="QQS25"/>
      <c r="QQT25"/>
      <c r="QQU25"/>
      <c r="QQV25"/>
      <c r="QQW25"/>
      <c r="QQX25"/>
      <c r="QQY25"/>
      <c r="QQZ25"/>
      <c r="QRA25"/>
      <c r="QRB25"/>
      <c r="QRC25"/>
      <c r="QRD25"/>
      <c r="QRE25"/>
      <c r="QRF25"/>
      <c r="QRG25"/>
      <c r="QRH25"/>
      <c r="QRI25"/>
      <c r="QRJ25"/>
      <c r="QRK25"/>
      <c r="QRL25"/>
      <c r="QRM25"/>
      <c r="QRN25"/>
      <c r="QRO25"/>
      <c r="QRP25"/>
      <c r="QRQ25"/>
      <c r="QRR25"/>
      <c r="QRS25"/>
      <c r="QRT25"/>
      <c r="QRU25"/>
      <c r="QRV25"/>
      <c r="QRW25"/>
      <c r="QRX25"/>
      <c r="QRY25"/>
      <c r="QRZ25"/>
      <c r="QSA25"/>
      <c r="QSB25"/>
      <c r="QSC25"/>
      <c r="QSD25"/>
      <c r="QSE25"/>
      <c r="QSF25"/>
      <c r="QSG25"/>
      <c r="QSH25"/>
      <c r="QSI25"/>
      <c r="QSJ25"/>
      <c r="QSK25"/>
      <c r="QSL25"/>
      <c r="QSM25"/>
      <c r="QSN25"/>
      <c r="QSO25"/>
      <c r="QSP25"/>
      <c r="QSQ25"/>
      <c r="QSR25"/>
      <c r="QSS25"/>
      <c r="QST25"/>
      <c r="QSU25"/>
      <c r="QSV25"/>
      <c r="QSW25"/>
      <c r="QSX25"/>
      <c r="QSY25"/>
      <c r="QSZ25"/>
      <c r="QTA25"/>
      <c r="QTB25"/>
      <c r="QTC25"/>
      <c r="QTD25"/>
      <c r="QTE25"/>
      <c r="QTF25"/>
      <c r="QTG25"/>
      <c r="QTH25"/>
      <c r="QTI25"/>
      <c r="QTJ25"/>
      <c r="QTK25"/>
      <c r="QTL25"/>
      <c r="QTM25"/>
      <c r="QTN25"/>
      <c r="QTO25"/>
      <c r="QTP25"/>
      <c r="QTQ25"/>
      <c r="QTR25"/>
      <c r="QTS25"/>
      <c r="QTT25"/>
      <c r="QTU25"/>
      <c r="QTV25"/>
      <c r="QTW25"/>
      <c r="QTX25"/>
      <c r="QTY25"/>
      <c r="QTZ25"/>
      <c r="QUA25"/>
      <c r="QUB25"/>
      <c r="QUC25"/>
      <c r="QUD25"/>
      <c r="QUE25"/>
      <c r="QUF25"/>
      <c r="QUG25"/>
      <c r="QUH25"/>
      <c r="QUI25"/>
      <c r="QUJ25"/>
      <c r="QUK25"/>
      <c r="QUL25"/>
      <c r="QUM25"/>
      <c r="QUN25"/>
      <c r="QUO25"/>
      <c r="QUP25"/>
      <c r="QUQ25"/>
      <c r="QUR25"/>
      <c r="QUS25"/>
      <c r="QUT25"/>
      <c r="QUU25"/>
      <c r="QUV25"/>
      <c r="QUW25"/>
      <c r="QUX25"/>
      <c r="QUY25"/>
      <c r="QUZ25"/>
      <c r="QVA25"/>
      <c r="QVB25"/>
      <c r="QVC25"/>
      <c r="QVD25"/>
      <c r="QVE25"/>
      <c r="QVF25"/>
      <c r="QVG25"/>
      <c r="QVH25"/>
      <c r="QVI25"/>
      <c r="QVJ25"/>
      <c r="QVK25"/>
      <c r="QVL25"/>
      <c r="QVM25"/>
      <c r="QVN25"/>
      <c r="QVO25"/>
      <c r="QVP25"/>
      <c r="QVQ25"/>
      <c r="QVR25"/>
      <c r="QVS25"/>
      <c r="QVT25"/>
      <c r="QVU25"/>
      <c r="QVV25"/>
      <c r="QVW25"/>
      <c r="QVX25"/>
      <c r="QVY25"/>
      <c r="QVZ25"/>
      <c r="QWA25"/>
      <c r="QWB25"/>
      <c r="QWC25"/>
      <c r="QWD25"/>
      <c r="QWE25"/>
      <c r="QWF25"/>
      <c r="QWG25"/>
      <c r="QWH25"/>
      <c r="QWI25"/>
      <c r="QWJ25"/>
      <c r="QWK25"/>
      <c r="QWL25"/>
      <c r="QWM25"/>
      <c r="QWN25"/>
      <c r="QWO25"/>
      <c r="QWP25"/>
      <c r="QWQ25"/>
      <c r="QWR25"/>
      <c r="QWS25"/>
      <c r="QWT25"/>
      <c r="QWU25"/>
      <c r="QWV25"/>
      <c r="QWW25"/>
      <c r="QWX25"/>
      <c r="QWY25"/>
      <c r="QWZ25"/>
      <c r="QXA25"/>
      <c r="QXB25"/>
      <c r="QXC25"/>
      <c r="QXD25"/>
      <c r="QXE25"/>
      <c r="QXF25"/>
      <c r="QXG25"/>
      <c r="QXH25"/>
      <c r="QXI25"/>
      <c r="QXJ25"/>
      <c r="QXK25"/>
      <c r="QXL25"/>
      <c r="QXM25"/>
      <c r="QXN25"/>
      <c r="QXO25"/>
      <c r="QXP25"/>
      <c r="QXQ25"/>
      <c r="QXR25"/>
      <c r="QXS25"/>
      <c r="QXT25"/>
      <c r="QXU25"/>
      <c r="QXV25"/>
      <c r="QXW25"/>
      <c r="QXX25"/>
      <c r="QXY25"/>
      <c r="QXZ25"/>
      <c r="QYA25"/>
      <c r="QYB25"/>
      <c r="QYC25"/>
      <c r="QYD25"/>
      <c r="QYE25"/>
      <c r="QYF25"/>
      <c r="QYG25"/>
      <c r="QYH25"/>
      <c r="QYI25"/>
      <c r="QYJ25"/>
      <c r="QYK25"/>
      <c r="QYL25"/>
      <c r="QYM25"/>
      <c r="QYN25"/>
      <c r="QYO25"/>
      <c r="QYP25"/>
      <c r="QYQ25"/>
      <c r="QYR25"/>
      <c r="QYS25"/>
      <c r="QYT25"/>
      <c r="QYU25"/>
      <c r="QYV25"/>
      <c r="QYW25"/>
      <c r="QYX25"/>
      <c r="QYY25"/>
      <c r="QYZ25"/>
      <c r="QZA25"/>
      <c r="QZB25"/>
      <c r="QZC25"/>
      <c r="QZD25"/>
      <c r="QZE25"/>
      <c r="QZF25"/>
      <c r="QZG25"/>
      <c r="QZH25"/>
      <c r="QZI25"/>
      <c r="QZJ25"/>
      <c r="QZK25"/>
      <c r="QZL25"/>
      <c r="QZM25"/>
      <c r="QZN25"/>
      <c r="QZO25"/>
      <c r="QZP25"/>
      <c r="QZQ25"/>
      <c r="QZR25"/>
      <c r="QZS25"/>
      <c r="QZT25"/>
      <c r="QZU25"/>
      <c r="QZV25"/>
      <c r="QZW25"/>
      <c r="QZX25"/>
      <c r="QZY25"/>
      <c r="QZZ25"/>
      <c r="RAA25"/>
      <c r="RAB25"/>
      <c r="RAC25"/>
      <c r="RAD25"/>
      <c r="RAE25"/>
      <c r="RAF25"/>
      <c r="RAG25"/>
      <c r="RAH25"/>
      <c r="RAI25"/>
      <c r="RAJ25"/>
      <c r="RAK25"/>
      <c r="RAL25"/>
      <c r="RAM25"/>
      <c r="RAN25"/>
      <c r="RAO25"/>
      <c r="RAP25"/>
      <c r="RAQ25"/>
      <c r="RAR25"/>
      <c r="RAS25"/>
      <c r="RAT25"/>
      <c r="RAU25"/>
      <c r="RAV25"/>
      <c r="RAW25"/>
      <c r="RAX25"/>
      <c r="RAY25"/>
      <c r="RAZ25"/>
      <c r="RBA25"/>
      <c r="RBB25"/>
      <c r="RBC25"/>
      <c r="RBD25"/>
      <c r="RBE25"/>
      <c r="RBF25"/>
      <c r="RBG25"/>
      <c r="RBH25"/>
      <c r="RBI25"/>
      <c r="RBJ25"/>
      <c r="RBK25"/>
      <c r="RBL25"/>
      <c r="RBM25"/>
      <c r="RBN25"/>
      <c r="RBO25"/>
      <c r="RBP25"/>
      <c r="RBQ25"/>
      <c r="RBR25"/>
      <c r="RBS25"/>
      <c r="RBT25"/>
      <c r="RBU25"/>
      <c r="RBV25"/>
      <c r="RBW25"/>
      <c r="RBX25"/>
      <c r="RBY25"/>
      <c r="RBZ25"/>
      <c r="RCA25"/>
      <c r="RCB25"/>
      <c r="RCC25"/>
      <c r="RCD25"/>
      <c r="RCE25"/>
      <c r="RCF25"/>
      <c r="RCG25"/>
      <c r="RCH25"/>
      <c r="RCI25"/>
      <c r="RCJ25"/>
      <c r="RCK25"/>
      <c r="RCL25"/>
      <c r="RCM25"/>
      <c r="RCN25"/>
      <c r="RCO25"/>
      <c r="RCP25"/>
      <c r="RCQ25"/>
      <c r="RCR25"/>
      <c r="RCS25"/>
      <c r="RCT25"/>
      <c r="RCU25"/>
      <c r="RCV25"/>
      <c r="RCW25"/>
      <c r="RCX25"/>
      <c r="RCY25"/>
      <c r="RCZ25"/>
      <c r="RDA25"/>
      <c r="RDB25"/>
      <c r="RDC25"/>
      <c r="RDD25"/>
      <c r="RDE25"/>
      <c r="RDF25"/>
      <c r="RDG25"/>
      <c r="RDH25"/>
      <c r="RDI25"/>
      <c r="RDJ25"/>
      <c r="RDK25"/>
      <c r="RDL25"/>
      <c r="RDM25"/>
      <c r="RDN25"/>
      <c r="RDO25"/>
      <c r="RDP25"/>
      <c r="RDQ25"/>
      <c r="RDR25"/>
      <c r="RDS25"/>
      <c r="RDT25"/>
      <c r="RDU25"/>
      <c r="RDV25"/>
      <c r="RDW25"/>
      <c r="RDX25"/>
      <c r="RDY25"/>
      <c r="RDZ25"/>
      <c r="REA25"/>
      <c r="REB25"/>
      <c r="REC25"/>
      <c r="RED25"/>
      <c r="REE25"/>
      <c r="REF25"/>
      <c r="REG25"/>
      <c r="REH25"/>
      <c r="REI25"/>
      <c r="REJ25"/>
      <c r="REK25"/>
      <c r="REL25"/>
      <c r="REM25"/>
      <c r="REN25"/>
      <c r="REO25"/>
      <c r="REP25"/>
      <c r="REQ25"/>
      <c r="RER25"/>
      <c r="RES25"/>
      <c r="RET25"/>
      <c r="REU25"/>
      <c r="REV25"/>
      <c r="REW25"/>
      <c r="REX25"/>
      <c r="REY25"/>
      <c r="REZ25"/>
      <c r="RFA25"/>
      <c r="RFB25"/>
      <c r="RFC25"/>
      <c r="RFD25"/>
      <c r="RFE25"/>
      <c r="RFF25"/>
      <c r="RFG25"/>
      <c r="RFH25"/>
      <c r="RFI25"/>
      <c r="RFJ25"/>
      <c r="RFK25"/>
      <c r="RFL25"/>
      <c r="RFM25"/>
      <c r="RFN25"/>
      <c r="RFO25"/>
      <c r="RFP25"/>
      <c r="RFQ25"/>
      <c r="RFR25"/>
      <c r="RFS25"/>
      <c r="RFT25"/>
      <c r="RFU25"/>
      <c r="RFV25"/>
      <c r="RFW25"/>
      <c r="RFX25"/>
      <c r="RFY25"/>
      <c r="RFZ25"/>
      <c r="RGA25"/>
      <c r="RGB25"/>
      <c r="RGC25"/>
      <c r="RGD25"/>
      <c r="RGE25"/>
      <c r="RGF25"/>
      <c r="RGG25"/>
      <c r="RGH25"/>
      <c r="RGI25"/>
      <c r="RGJ25"/>
      <c r="RGK25"/>
      <c r="RGL25"/>
      <c r="RGM25"/>
      <c r="RGN25"/>
      <c r="RGO25"/>
      <c r="RGP25"/>
      <c r="RGQ25"/>
      <c r="RGR25"/>
      <c r="RGS25"/>
      <c r="RGT25"/>
      <c r="RGU25"/>
      <c r="RGV25"/>
      <c r="RGW25"/>
      <c r="RGX25"/>
      <c r="RGY25"/>
      <c r="RGZ25"/>
      <c r="RHA25"/>
      <c r="RHB25"/>
      <c r="RHC25"/>
      <c r="RHD25"/>
      <c r="RHE25"/>
      <c r="RHF25"/>
      <c r="RHG25"/>
      <c r="RHH25"/>
      <c r="RHI25"/>
      <c r="RHJ25"/>
      <c r="RHK25"/>
      <c r="RHL25"/>
      <c r="RHM25"/>
      <c r="RHN25"/>
      <c r="RHO25"/>
      <c r="RHP25"/>
      <c r="RHQ25"/>
      <c r="RHR25"/>
      <c r="RHS25"/>
      <c r="RHT25"/>
      <c r="RHU25"/>
      <c r="RHV25"/>
      <c r="RHW25"/>
      <c r="RHX25"/>
      <c r="RHY25"/>
      <c r="RHZ25"/>
      <c r="RIA25"/>
      <c r="RIB25"/>
      <c r="RIC25"/>
      <c r="RID25"/>
      <c r="RIE25"/>
      <c r="RIF25"/>
      <c r="RIG25"/>
      <c r="RIH25"/>
      <c r="RII25"/>
      <c r="RIJ25"/>
      <c r="RIK25"/>
      <c r="RIL25"/>
      <c r="RIM25"/>
      <c r="RIN25"/>
      <c r="RIO25"/>
      <c r="RIP25"/>
      <c r="RIQ25"/>
      <c r="RIR25"/>
      <c r="RIS25"/>
      <c r="RIT25"/>
      <c r="RIU25"/>
      <c r="RIV25"/>
      <c r="RIW25"/>
      <c r="RIX25"/>
      <c r="RIY25"/>
      <c r="RIZ25"/>
      <c r="RJA25"/>
      <c r="RJB25"/>
      <c r="RJC25"/>
      <c r="RJD25"/>
      <c r="RJE25"/>
      <c r="RJF25"/>
      <c r="RJG25"/>
      <c r="RJH25"/>
      <c r="RJI25"/>
      <c r="RJJ25"/>
      <c r="RJK25"/>
      <c r="RJL25"/>
      <c r="RJM25"/>
      <c r="RJN25"/>
      <c r="RJO25"/>
      <c r="RJP25"/>
      <c r="RJQ25"/>
      <c r="RJR25"/>
      <c r="RJS25"/>
      <c r="RJT25"/>
      <c r="RJU25"/>
      <c r="RJV25"/>
      <c r="RJW25"/>
      <c r="RJX25"/>
      <c r="RJY25"/>
      <c r="RJZ25"/>
      <c r="RKA25"/>
      <c r="RKB25"/>
      <c r="RKC25"/>
      <c r="RKD25"/>
      <c r="RKE25"/>
      <c r="RKF25"/>
      <c r="RKG25"/>
      <c r="RKH25"/>
      <c r="RKI25"/>
      <c r="RKJ25"/>
      <c r="RKK25"/>
      <c r="RKL25"/>
      <c r="RKM25"/>
      <c r="RKN25"/>
      <c r="RKO25"/>
      <c r="RKP25"/>
      <c r="RKQ25"/>
      <c r="RKR25"/>
      <c r="RKS25"/>
      <c r="RKT25"/>
      <c r="RKU25"/>
      <c r="RKV25"/>
      <c r="RKW25"/>
      <c r="RKX25"/>
      <c r="RKY25"/>
      <c r="RKZ25"/>
      <c r="RLA25"/>
      <c r="RLB25"/>
      <c r="RLC25"/>
      <c r="RLD25"/>
      <c r="RLE25"/>
      <c r="RLF25"/>
      <c r="RLG25"/>
      <c r="RLH25"/>
      <c r="RLI25"/>
      <c r="RLJ25"/>
      <c r="RLK25"/>
      <c r="RLL25"/>
      <c r="RLM25"/>
      <c r="RLN25"/>
      <c r="RLO25"/>
      <c r="RLP25"/>
      <c r="RLQ25"/>
      <c r="RLR25"/>
      <c r="RLS25"/>
      <c r="RLT25"/>
      <c r="RLU25"/>
      <c r="RLV25"/>
      <c r="RLW25"/>
      <c r="RLX25"/>
      <c r="RLY25"/>
      <c r="RLZ25"/>
      <c r="RMA25"/>
      <c r="RMB25"/>
      <c r="RMC25"/>
      <c r="RMD25"/>
      <c r="RME25"/>
      <c r="RMF25"/>
      <c r="RMG25"/>
      <c r="RMH25"/>
      <c r="RMI25"/>
      <c r="RMJ25"/>
      <c r="RMK25"/>
      <c r="RML25"/>
      <c r="RMM25"/>
      <c r="RMN25"/>
      <c r="RMO25"/>
      <c r="RMP25"/>
      <c r="RMQ25"/>
      <c r="RMR25"/>
      <c r="RMS25"/>
      <c r="RMT25"/>
      <c r="RMU25"/>
      <c r="RMV25"/>
      <c r="RMW25"/>
      <c r="RMX25"/>
      <c r="RMY25"/>
      <c r="RMZ25"/>
      <c r="RNA25"/>
      <c r="RNB25"/>
      <c r="RNC25"/>
      <c r="RND25"/>
      <c r="RNE25"/>
      <c r="RNF25"/>
      <c r="RNG25"/>
      <c r="RNH25"/>
      <c r="RNI25"/>
      <c r="RNJ25"/>
      <c r="RNK25"/>
      <c r="RNL25"/>
      <c r="RNM25"/>
      <c r="RNN25"/>
      <c r="RNO25"/>
      <c r="RNP25"/>
      <c r="RNQ25"/>
      <c r="RNR25"/>
      <c r="RNS25"/>
      <c r="RNT25"/>
      <c r="RNU25"/>
      <c r="RNV25"/>
      <c r="RNW25"/>
      <c r="RNX25"/>
      <c r="RNY25"/>
      <c r="RNZ25"/>
      <c r="ROA25"/>
      <c r="ROB25"/>
      <c r="ROC25"/>
      <c r="ROD25"/>
      <c r="ROE25"/>
      <c r="ROF25"/>
      <c r="ROG25"/>
      <c r="ROH25"/>
      <c r="ROI25"/>
      <c r="ROJ25"/>
      <c r="ROK25"/>
      <c r="ROL25"/>
      <c r="ROM25"/>
      <c r="RON25"/>
      <c r="ROO25"/>
      <c r="ROP25"/>
      <c r="ROQ25"/>
      <c r="ROR25"/>
      <c r="ROS25"/>
      <c r="ROT25"/>
      <c r="ROU25"/>
      <c r="ROV25"/>
      <c r="ROW25"/>
      <c r="ROX25"/>
      <c r="ROY25"/>
      <c r="ROZ25"/>
      <c r="RPA25"/>
      <c r="RPB25"/>
      <c r="RPC25"/>
      <c r="RPD25"/>
      <c r="RPE25"/>
      <c r="RPF25"/>
      <c r="RPG25"/>
      <c r="RPH25"/>
      <c r="RPI25"/>
      <c r="RPJ25"/>
      <c r="RPK25"/>
      <c r="RPL25"/>
      <c r="RPM25"/>
      <c r="RPN25"/>
      <c r="RPO25"/>
      <c r="RPP25"/>
      <c r="RPQ25"/>
      <c r="RPR25"/>
      <c r="RPS25"/>
      <c r="RPT25"/>
      <c r="RPU25"/>
      <c r="RPV25"/>
      <c r="RPW25"/>
      <c r="RPX25"/>
      <c r="RPY25"/>
      <c r="RPZ25"/>
      <c r="RQA25"/>
      <c r="RQB25"/>
      <c r="RQC25"/>
      <c r="RQD25"/>
      <c r="RQE25"/>
      <c r="RQF25"/>
      <c r="RQG25"/>
      <c r="RQH25"/>
      <c r="RQI25"/>
      <c r="RQJ25"/>
      <c r="RQK25"/>
      <c r="RQL25"/>
      <c r="RQM25"/>
      <c r="RQN25"/>
      <c r="RQO25"/>
      <c r="RQP25"/>
      <c r="RQQ25"/>
      <c r="RQR25"/>
      <c r="RQS25"/>
      <c r="RQT25"/>
      <c r="RQU25"/>
      <c r="RQV25"/>
      <c r="RQW25"/>
      <c r="RQX25"/>
      <c r="RQY25"/>
      <c r="RQZ25"/>
      <c r="RRA25"/>
      <c r="RRB25"/>
      <c r="RRC25"/>
      <c r="RRD25"/>
      <c r="RRE25"/>
      <c r="RRF25"/>
      <c r="RRG25"/>
      <c r="RRH25"/>
      <c r="RRI25"/>
      <c r="RRJ25"/>
      <c r="RRK25"/>
      <c r="RRL25"/>
      <c r="RRM25"/>
      <c r="RRN25"/>
      <c r="RRO25"/>
      <c r="RRP25"/>
      <c r="RRQ25"/>
      <c r="RRR25"/>
      <c r="RRS25"/>
      <c r="RRT25"/>
      <c r="RRU25"/>
      <c r="RRV25"/>
      <c r="RRW25"/>
      <c r="RRX25"/>
      <c r="RRY25"/>
      <c r="RRZ25"/>
      <c r="RSA25"/>
      <c r="RSB25"/>
      <c r="RSC25"/>
      <c r="RSD25"/>
      <c r="RSE25"/>
      <c r="RSF25"/>
      <c r="RSG25"/>
      <c r="RSH25"/>
      <c r="RSI25"/>
      <c r="RSJ25"/>
      <c r="RSK25"/>
      <c r="RSL25"/>
      <c r="RSM25"/>
      <c r="RSN25"/>
      <c r="RSO25"/>
      <c r="RSP25"/>
      <c r="RSQ25"/>
      <c r="RSR25"/>
      <c r="RSS25"/>
      <c r="RST25"/>
      <c r="RSU25"/>
      <c r="RSV25"/>
      <c r="RSW25"/>
      <c r="RSX25"/>
      <c r="RSY25"/>
      <c r="RSZ25"/>
      <c r="RTA25"/>
      <c r="RTB25"/>
      <c r="RTC25"/>
      <c r="RTD25"/>
      <c r="RTE25"/>
      <c r="RTF25"/>
      <c r="RTG25"/>
      <c r="RTH25"/>
      <c r="RTI25"/>
      <c r="RTJ25"/>
      <c r="RTK25"/>
      <c r="RTL25"/>
      <c r="RTM25"/>
      <c r="RTN25"/>
      <c r="RTO25"/>
      <c r="RTP25"/>
      <c r="RTQ25"/>
      <c r="RTR25"/>
      <c r="RTS25"/>
      <c r="RTT25"/>
      <c r="RTU25"/>
      <c r="RTV25"/>
      <c r="RTW25"/>
      <c r="RTX25"/>
      <c r="RTY25"/>
      <c r="RTZ25"/>
      <c r="RUA25"/>
      <c r="RUB25"/>
      <c r="RUC25"/>
      <c r="RUD25"/>
      <c r="RUE25"/>
      <c r="RUF25"/>
      <c r="RUG25"/>
      <c r="RUH25"/>
      <c r="RUI25"/>
      <c r="RUJ25"/>
      <c r="RUK25"/>
      <c r="RUL25"/>
      <c r="RUM25"/>
      <c r="RUN25"/>
      <c r="RUO25"/>
      <c r="RUP25"/>
      <c r="RUQ25"/>
      <c r="RUR25"/>
      <c r="RUS25"/>
      <c r="RUT25"/>
      <c r="RUU25"/>
      <c r="RUV25"/>
      <c r="RUW25"/>
      <c r="RUX25"/>
      <c r="RUY25"/>
      <c r="RUZ25"/>
      <c r="RVA25"/>
      <c r="RVB25"/>
      <c r="RVC25"/>
      <c r="RVD25"/>
      <c r="RVE25"/>
      <c r="RVF25"/>
      <c r="RVG25"/>
      <c r="RVH25"/>
      <c r="RVI25"/>
      <c r="RVJ25"/>
      <c r="RVK25"/>
      <c r="RVL25"/>
      <c r="RVM25"/>
      <c r="RVN25"/>
      <c r="RVO25"/>
      <c r="RVP25"/>
      <c r="RVQ25"/>
      <c r="RVR25"/>
      <c r="RVS25"/>
      <c r="RVT25"/>
      <c r="RVU25"/>
      <c r="RVV25"/>
      <c r="RVW25"/>
      <c r="RVX25"/>
      <c r="RVY25"/>
      <c r="RVZ25"/>
      <c r="RWA25"/>
      <c r="RWB25"/>
      <c r="RWC25"/>
      <c r="RWD25"/>
      <c r="RWE25"/>
      <c r="RWF25"/>
      <c r="RWG25"/>
      <c r="RWH25"/>
      <c r="RWI25"/>
      <c r="RWJ25"/>
      <c r="RWK25"/>
      <c r="RWL25"/>
      <c r="RWM25"/>
      <c r="RWN25"/>
      <c r="RWO25"/>
      <c r="RWP25"/>
      <c r="RWQ25"/>
      <c r="RWR25"/>
      <c r="RWS25"/>
      <c r="RWT25"/>
      <c r="RWU25"/>
      <c r="RWV25"/>
      <c r="RWW25"/>
      <c r="RWX25"/>
      <c r="RWY25"/>
      <c r="RWZ25"/>
      <c r="RXA25"/>
      <c r="RXB25"/>
      <c r="RXC25"/>
      <c r="RXD25"/>
      <c r="RXE25"/>
      <c r="RXF25"/>
      <c r="RXG25"/>
      <c r="RXH25"/>
      <c r="RXI25"/>
      <c r="RXJ25"/>
      <c r="RXK25"/>
      <c r="RXL25"/>
      <c r="RXM25"/>
      <c r="RXN25"/>
      <c r="RXO25"/>
      <c r="RXP25"/>
      <c r="RXQ25"/>
      <c r="RXR25"/>
      <c r="RXS25"/>
      <c r="RXT25"/>
      <c r="RXU25"/>
      <c r="RXV25"/>
      <c r="RXW25"/>
      <c r="RXX25"/>
      <c r="RXY25"/>
      <c r="RXZ25"/>
      <c r="RYA25"/>
      <c r="RYB25"/>
      <c r="RYC25"/>
      <c r="RYD25"/>
      <c r="RYE25"/>
      <c r="RYF25"/>
      <c r="RYG25"/>
      <c r="RYH25"/>
      <c r="RYI25"/>
      <c r="RYJ25"/>
      <c r="RYK25"/>
      <c r="RYL25"/>
      <c r="RYM25"/>
      <c r="RYN25"/>
      <c r="RYO25"/>
      <c r="RYP25"/>
      <c r="RYQ25"/>
      <c r="RYR25"/>
      <c r="RYS25"/>
      <c r="RYT25"/>
      <c r="RYU25"/>
      <c r="RYV25"/>
      <c r="RYW25"/>
      <c r="RYX25"/>
      <c r="RYY25"/>
      <c r="RYZ25"/>
      <c r="RZA25"/>
      <c r="RZB25"/>
      <c r="RZC25"/>
      <c r="RZD25"/>
      <c r="RZE25"/>
      <c r="RZF25"/>
      <c r="RZG25"/>
      <c r="RZH25"/>
      <c r="RZI25"/>
      <c r="RZJ25"/>
      <c r="RZK25"/>
      <c r="RZL25"/>
      <c r="RZM25"/>
      <c r="RZN25"/>
      <c r="RZO25"/>
      <c r="RZP25"/>
      <c r="RZQ25"/>
      <c r="RZR25"/>
      <c r="RZS25"/>
      <c r="RZT25"/>
      <c r="RZU25"/>
      <c r="RZV25"/>
      <c r="RZW25"/>
      <c r="RZX25"/>
      <c r="RZY25"/>
      <c r="RZZ25"/>
      <c r="SAA25"/>
      <c r="SAB25"/>
      <c r="SAC25"/>
      <c r="SAD25"/>
      <c r="SAE25"/>
      <c r="SAF25"/>
      <c r="SAG25"/>
      <c r="SAH25"/>
      <c r="SAI25"/>
      <c r="SAJ25"/>
      <c r="SAK25"/>
      <c r="SAL25"/>
      <c r="SAM25"/>
      <c r="SAN25"/>
      <c r="SAO25"/>
      <c r="SAP25"/>
      <c r="SAQ25"/>
      <c r="SAR25"/>
      <c r="SAS25"/>
      <c r="SAT25"/>
      <c r="SAU25"/>
      <c r="SAV25"/>
      <c r="SAW25"/>
      <c r="SAX25"/>
      <c r="SAY25"/>
      <c r="SAZ25"/>
      <c r="SBA25"/>
      <c r="SBB25"/>
      <c r="SBC25"/>
      <c r="SBD25"/>
      <c r="SBE25"/>
      <c r="SBF25"/>
      <c r="SBG25"/>
      <c r="SBH25"/>
      <c r="SBI25"/>
      <c r="SBJ25"/>
      <c r="SBK25"/>
      <c r="SBL25"/>
      <c r="SBM25"/>
      <c r="SBN25"/>
      <c r="SBO25"/>
      <c r="SBP25"/>
      <c r="SBQ25"/>
      <c r="SBR25"/>
      <c r="SBS25"/>
      <c r="SBT25"/>
      <c r="SBU25"/>
      <c r="SBV25"/>
      <c r="SBW25"/>
      <c r="SBX25"/>
      <c r="SBY25"/>
      <c r="SBZ25"/>
      <c r="SCA25"/>
      <c r="SCB25"/>
      <c r="SCC25"/>
      <c r="SCD25"/>
      <c r="SCE25"/>
      <c r="SCF25"/>
      <c r="SCG25"/>
      <c r="SCH25"/>
      <c r="SCI25"/>
      <c r="SCJ25"/>
      <c r="SCK25"/>
      <c r="SCL25"/>
      <c r="SCM25"/>
      <c r="SCN25"/>
      <c r="SCO25"/>
      <c r="SCP25"/>
      <c r="SCQ25"/>
      <c r="SCR25"/>
      <c r="SCS25"/>
      <c r="SCT25"/>
      <c r="SCU25"/>
      <c r="SCV25"/>
      <c r="SCW25"/>
      <c r="SCX25"/>
      <c r="SCY25"/>
      <c r="SCZ25"/>
      <c r="SDA25"/>
      <c r="SDB25"/>
      <c r="SDC25"/>
      <c r="SDD25"/>
      <c r="SDE25"/>
      <c r="SDF25"/>
      <c r="SDG25"/>
      <c r="SDH25"/>
      <c r="SDI25"/>
      <c r="SDJ25"/>
      <c r="SDK25"/>
      <c r="SDL25"/>
      <c r="SDM25"/>
      <c r="SDN25"/>
      <c r="SDO25"/>
      <c r="SDP25"/>
      <c r="SDQ25"/>
      <c r="SDR25"/>
      <c r="SDS25"/>
      <c r="SDT25"/>
      <c r="SDU25"/>
      <c r="SDV25"/>
      <c r="SDW25"/>
      <c r="SDX25"/>
      <c r="SDY25"/>
      <c r="SDZ25"/>
      <c r="SEA25"/>
      <c r="SEB25"/>
      <c r="SEC25"/>
      <c r="SED25"/>
      <c r="SEE25"/>
      <c r="SEF25"/>
      <c r="SEG25"/>
      <c r="SEH25"/>
      <c r="SEI25"/>
      <c r="SEJ25"/>
      <c r="SEK25"/>
      <c r="SEL25"/>
      <c r="SEM25"/>
      <c r="SEN25"/>
      <c r="SEO25"/>
      <c r="SEP25"/>
      <c r="SEQ25"/>
      <c r="SER25"/>
      <c r="SES25"/>
      <c r="SET25"/>
      <c r="SEU25"/>
      <c r="SEV25"/>
      <c r="SEW25"/>
      <c r="SEX25"/>
      <c r="SEY25"/>
      <c r="SEZ25"/>
      <c r="SFA25"/>
      <c r="SFB25"/>
      <c r="SFC25"/>
      <c r="SFD25"/>
      <c r="SFE25"/>
      <c r="SFF25"/>
      <c r="SFG25"/>
      <c r="SFH25"/>
      <c r="SFI25"/>
      <c r="SFJ25"/>
      <c r="SFK25"/>
      <c r="SFL25"/>
      <c r="SFM25"/>
      <c r="SFN25"/>
      <c r="SFO25"/>
      <c r="SFP25"/>
      <c r="SFQ25"/>
      <c r="SFR25"/>
      <c r="SFS25"/>
      <c r="SFT25"/>
      <c r="SFU25"/>
      <c r="SFV25"/>
      <c r="SFW25"/>
      <c r="SFX25"/>
      <c r="SFY25"/>
      <c r="SFZ25"/>
      <c r="SGA25"/>
      <c r="SGB25"/>
      <c r="SGC25"/>
      <c r="SGD25"/>
      <c r="SGE25"/>
      <c r="SGF25"/>
      <c r="SGG25"/>
      <c r="SGH25"/>
      <c r="SGI25"/>
      <c r="SGJ25"/>
      <c r="SGK25"/>
      <c r="SGL25"/>
      <c r="SGM25"/>
      <c r="SGN25"/>
      <c r="SGO25"/>
      <c r="SGP25"/>
      <c r="SGQ25"/>
      <c r="SGR25"/>
      <c r="SGS25"/>
      <c r="SGT25"/>
      <c r="SGU25"/>
      <c r="SGV25"/>
      <c r="SGW25"/>
      <c r="SGX25"/>
      <c r="SGY25"/>
      <c r="SGZ25"/>
      <c r="SHA25"/>
      <c r="SHB25"/>
      <c r="SHC25"/>
      <c r="SHD25"/>
      <c r="SHE25"/>
      <c r="SHF25"/>
      <c r="SHG25"/>
      <c r="SHH25"/>
      <c r="SHI25"/>
      <c r="SHJ25"/>
      <c r="SHK25"/>
      <c r="SHL25"/>
      <c r="SHM25"/>
      <c r="SHN25"/>
      <c r="SHO25"/>
      <c r="SHP25"/>
      <c r="SHQ25"/>
      <c r="SHR25"/>
      <c r="SHS25"/>
      <c r="SHT25"/>
      <c r="SHU25"/>
      <c r="SHV25"/>
      <c r="SHW25"/>
      <c r="SHX25"/>
      <c r="SHY25"/>
      <c r="SHZ25"/>
      <c r="SIA25"/>
      <c r="SIB25"/>
      <c r="SIC25"/>
      <c r="SID25"/>
      <c r="SIE25"/>
      <c r="SIF25"/>
      <c r="SIG25"/>
      <c r="SIH25"/>
      <c r="SII25"/>
      <c r="SIJ25"/>
      <c r="SIK25"/>
      <c r="SIL25"/>
      <c r="SIM25"/>
      <c r="SIN25"/>
      <c r="SIO25"/>
      <c r="SIP25"/>
      <c r="SIQ25"/>
      <c r="SIR25"/>
      <c r="SIS25"/>
      <c r="SIT25"/>
      <c r="SIU25"/>
      <c r="SIV25"/>
      <c r="SIW25"/>
      <c r="SIX25"/>
      <c r="SIY25"/>
      <c r="SIZ25"/>
      <c r="SJA25"/>
      <c r="SJB25"/>
      <c r="SJC25"/>
      <c r="SJD25"/>
      <c r="SJE25"/>
      <c r="SJF25"/>
      <c r="SJG25"/>
      <c r="SJH25"/>
      <c r="SJI25"/>
      <c r="SJJ25"/>
      <c r="SJK25"/>
      <c r="SJL25"/>
      <c r="SJM25"/>
      <c r="SJN25"/>
      <c r="SJO25"/>
      <c r="SJP25"/>
      <c r="SJQ25"/>
      <c r="SJR25"/>
      <c r="SJS25"/>
      <c r="SJT25"/>
      <c r="SJU25"/>
      <c r="SJV25"/>
      <c r="SJW25"/>
      <c r="SJX25"/>
      <c r="SJY25"/>
      <c r="SJZ25"/>
      <c r="SKA25"/>
      <c r="SKB25"/>
      <c r="SKC25"/>
      <c r="SKD25"/>
      <c r="SKE25"/>
      <c r="SKF25"/>
      <c r="SKG25"/>
      <c r="SKH25"/>
      <c r="SKI25"/>
      <c r="SKJ25"/>
      <c r="SKK25"/>
      <c r="SKL25"/>
      <c r="SKM25"/>
      <c r="SKN25"/>
      <c r="SKO25"/>
      <c r="SKP25"/>
      <c r="SKQ25"/>
      <c r="SKR25"/>
      <c r="SKS25"/>
      <c r="SKT25"/>
      <c r="SKU25"/>
      <c r="SKV25"/>
      <c r="SKW25"/>
      <c r="SKX25"/>
      <c r="SKY25"/>
      <c r="SKZ25"/>
      <c r="SLA25"/>
      <c r="SLB25"/>
      <c r="SLC25"/>
      <c r="SLD25"/>
      <c r="SLE25"/>
      <c r="SLF25"/>
      <c r="SLG25"/>
      <c r="SLH25"/>
      <c r="SLI25"/>
      <c r="SLJ25"/>
      <c r="SLK25"/>
      <c r="SLL25"/>
      <c r="SLM25"/>
      <c r="SLN25"/>
      <c r="SLO25"/>
      <c r="SLP25"/>
      <c r="SLQ25"/>
      <c r="SLR25"/>
      <c r="SLS25"/>
      <c r="SLT25"/>
      <c r="SLU25"/>
      <c r="SLV25"/>
      <c r="SLW25"/>
      <c r="SLX25"/>
      <c r="SLY25"/>
      <c r="SLZ25"/>
      <c r="SMA25"/>
      <c r="SMB25"/>
      <c r="SMC25"/>
      <c r="SMD25"/>
      <c r="SME25"/>
      <c r="SMF25"/>
      <c r="SMG25"/>
      <c r="SMH25"/>
      <c r="SMI25"/>
      <c r="SMJ25"/>
      <c r="SMK25"/>
      <c r="SML25"/>
      <c r="SMM25"/>
      <c r="SMN25"/>
      <c r="SMO25"/>
      <c r="SMP25"/>
      <c r="SMQ25"/>
      <c r="SMR25"/>
      <c r="SMS25"/>
      <c r="SMT25"/>
      <c r="SMU25"/>
      <c r="SMV25"/>
      <c r="SMW25"/>
      <c r="SMX25"/>
      <c r="SMY25"/>
      <c r="SMZ25"/>
      <c r="SNA25"/>
      <c r="SNB25"/>
      <c r="SNC25"/>
      <c r="SND25"/>
      <c r="SNE25"/>
      <c r="SNF25"/>
      <c r="SNG25"/>
      <c r="SNH25"/>
      <c r="SNI25"/>
      <c r="SNJ25"/>
      <c r="SNK25"/>
      <c r="SNL25"/>
      <c r="SNM25"/>
      <c r="SNN25"/>
      <c r="SNO25"/>
      <c r="SNP25"/>
      <c r="SNQ25"/>
      <c r="SNR25"/>
      <c r="SNS25"/>
      <c r="SNT25"/>
      <c r="SNU25"/>
      <c r="SNV25"/>
      <c r="SNW25"/>
      <c r="SNX25"/>
      <c r="SNY25"/>
      <c r="SNZ25"/>
      <c r="SOA25"/>
      <c r="SOB25"/>
      <c r="SOC25"/>
      <c r="SOD25"/>
      <c r="SOE25"/>
      <c r="SOF25"/>
      <c r="SOG25"/>
      <c r="SOH25"/>
      <c r="SOI25"/>
      <c r="SOJ25"/>
      <c r="SOK25"/>
      <c r="SOL25"/>
      <c r="SOM25"/>
      <c r="SON25"/>
      <c r="SOO25"/>
      <c r="SOP25"/>
      <c r="SOQ25"/>
      <c r="SOR25"/>
      <c r="SOS25"/>
      <c r="SOT25"/>
      <c r="SOU25"/>
      <c r="SOV25"/>
      <c r="SOW25"/>
      <c r="SOX25"/>
      <c r="SOY25"/>
      <c r="SOZ25"/>
      <c r="SPA25"/>
      <c r="SPB25"/>
      <c r="SPC25"/>
      <c r="SPD25"/>
      <c r="SPE25"/>
      <c r="SPF25"/>
      <c r="SPG25"/>
      <c r="SPH25"/>
      <c r="SPI25"/>
      <c r="SPJ25"/>
      <c r="SPK25"/>
      <c r="SPL25"/>
      <c r="SPM25"/>
      <c r="SPN25"/>
      <c r="SPO25"/>
      <c r="SPP25"/>
      <c r="SPQ25"/>
      <c r="SPR25"/>
      <c r="SPS25"/>
      <c r="SPT25"/>
      <c r="SPU25"/>
      <c r="SPV25"/>
      <c r="SPW25"/>
      <c r="SPX25"/>
      <c r="SPY25"/>
      <c r="SPZ25"/>
      <c r="SQA25"/>
      <c r="SQB25"/>
      <c r="SQC25"/>
      <c r="SQD25"/>
      <c r="SQE25"/>
      <c r="SQF25"/>
      <c r="SQG25"/>
      <c r="SQH25"/>
      <c r="SQI25"/>
      <c r="SQJ25"/>
      <c r="SQK25"/>
      <c r="SQL25"/>
      <c r="SQM25"/>
      <c r="SQN25"/>
      <c r="SQO25"/>
      <c r="SQP25"/>
      <c r="SQQ25"/>
      <c r="SQR25"/>
      <c r="SQS25"/>
      <c r="SQT25"/>
      <c r="SQU25"/>
      <c r="SQV25"/>
      <c r="SQW25"/>
      <c r="SQX25"/>
      <c r="SQY25"/>
      <c r="SQZ25"/>
      <c r="SRA25"/>
      <c r="SRB25"/>
      <c r="SRC25"/>
      <c r="SRD25"/>
      <c r="SRE25"/>
      <c r="SRF25"/>
      <c r="SRG25"/>
      <c r="SRH25"/>
      <c r="SRI25"/>
      <c r="SRJ25"/>
      <c r="SRK25"/>
      <c r="SRL25"/>
      <c r="SRM25"/>
      <c r="SRN25"/>
      <c r="SRO25"/>
      <c r="SRP25"/>
      <c r="SRQ25"/>
      <c r="SRR25"/>
      <c r="SRS25"/>
      <c r="SRT25"/>
      <c r="SRU25"/>
      <c r="SRV25"/>
      <c r="SRW25"/>
      <c r="SRX25"/>
      <c r="SRY25"/>
      <c r="SRZ25"/>
      <c r="SSA25"/>
      <c r="SSB25"/>
      <c r="SSC25"/>
      <c r="SSD25"/>
      <c r="SSE25"/>
      <c r="SSF25"/>
      <c r="SSG25"/>
      <c r="SSH25"/>
      <c r="SSI25"/>
      <c r="SSJ25"/>
      <c r="SSK25"/>
      <c r="SSL25"/>
      <c r="SSM25"/>
      <c r="SSN25"/>
      <c r="SSO25"/>
      <c r="SSP25"/>
      <c r="SSQ25"/>
      <c r="SSR25"/>
      <c r="SSS25"/>
      <c r="SST25"/>
      <c r="SSU25"/>
      <c r="SSV25"/>
      <c r="SSW25"/>
      <c r="SSX25"/>
      <c r="SSY25"/>
      <c r="SSZ25"/>
      <c r="STA25"/>
      <c r="STB25"/>
      <c r="STC25"/>
      <c r="STD25"/>
      <c r="STE25"/>
      <c r="STF25"/>
      <c r="STG25"/>
      <c r="STH25"/>
      <c r="STI25"/>
      <c r="STJ25"/>
      <c r="STK25"/>
      <c r="STL25"/>
      <c r="STM25"/>
      <c r="STN25"/>
      <c r="STO25"/>
      <c r="STP25"/>
      <c r="STQ25"/>
      <c r="STR25"/>
      <c r="STS25"/>
      <c r="STT25"/>
      <c r="STU25"/>
      <c r="STV25"/>
      <c r="STW25"/>
      <c r="STX25"/>
      <c r="STY25"/>
      <c r="STZ25"/>
      <c r="SUA25"/>
      <c r="SUB25"/>
      <c r="SUC25"/>
      <c r="SUD25"/>
      <c r="SUE25"/>
      <c r="SUF25"/>
      <c r="SUG25"/>
      <c r="SUH25"/>
      <c r="SUI25"/>
      <c r="SUJ25"/>
      <c r="SUK25"/>
      <c r="SUL25"/>
      <c r="SUM25"/>
      <c r="SUN25"/>
      <c r="SUO25"/>
      <c r="SUP25"/>
      <c r="SUQ25"/>
      <c r="SUR25"/>
      <c r="SUS25"/>
      <c r="SUT25"/>
      <c r="SUU25"/>
      <c r="SUV25"/>
      <c r="SUW25"/>
      <c r="SUX25"/>
      <c r="SUY25"/>
      <c r="SUZ25"/>
      <c r="SVA25"/>
      <c r="SVB25"/>
      <c r="SVC25"/>
      <c r="SVD25"/>
      <c r="SVE25"/>
      <c r="SVF25"/>
      <c r="SVG25"/>
      <c r="SVH25"/>
      <c r="SVI25"/>
      <c r="SVJ25"/>
      <c r="SVK25"/>
      <c r="SVL25"/>
      <c r="SVM25"/>
      <c r="SVN25"/>
      <c r="SVO25"/>
      <c r="SVP25"/>
      <c r="SVQ25"/>
      <c r="SVR25"/>
      <c r="SVS25"/>
      <c r="SVT25"/>
      <c r="SVU25"/>
      <c r="SVV25"/>
      <c r="SVW25"/>
      <c r="SVX25"/>
      <c r="SVY25"/>
      <c r="SVZ25"/>
      <c r="SWA25"/>
      <c r="SWB25"/>
      <c r="SWC25"/>
      <c r="SWD25"/>
      <c r="SWE25"/>
      <c r="SWF25"/>
      <c r="SWG25"/>
      <c r="SWH25"/>
      <c r="SWI25"/>
      <c r="SWJ25"/>
      <c r="SWK25"/>
      <c r="SWL25"/>
      <c r="SWM25"/>
      <c r="SWN25"/>
      <c r="SWO25"/>
      <c r="SWP25"/>
      <c r="SWQ25"/>
      <c r="SWR25"/>
      <c r="SWS25"/>
      <c r="SWT25"/>
      <c r="SWU25"/>
      <c r="SWV25"/>
      <c r="SWW25"/>
      <c r="SWX25"/>
      <c r="SWY25"/>
      <c r="SWZ25"/>
      <c r="SXA25"/>
      <c r="SXB25"/>
      <c r="SXC25"/>
      <c r="SXD25"/>
      <c r="SXE25"/>
      <c r="SXF25"/>
      <c r="SXG25"/>
      <c r="SXH25"/>
      <c r="SXI25"/>
      <c r="SXJ25"/>
      <c r="SXK25"/>
      <c r="SXL25"/>
      <c r="SXM25"/>
      <c r="SXN25"/>
      <c r="SXO25"/>
      <c r="SXP25"/>
      <c r="SXQ25"/>
      <c r="SXR25"/>
      <c r="SXS25"/>
      <c r="SXT25"/>
      <c r="SXU25"/>
      <c r="SXV25"/>
      <c r="SXW25"/>
      <c r="SXX25"/>
      <c r="SXY25"/>
      <c r="SXZ25"/>
      <c r="SYA25"/>
      <c r="SYB25"/>
      <c r="SYC25"/>
      <c r="SYD25"/>
      <c r="SYE25"/>
      <c r="SYF25"/>
      <c r="SYG25"/>
      <c r="SYH25"/>
      <c r="SYI25"/>
      <c r="SYJ25"/>
      <c r="SYK25"/>
      <c r="SYL25"/>
      <c r="SYM25"/>
      <c r="SYN25"/>
      <c r="SYO25"/>
      <c r="SYP25"/>
      <c r="SYQ25"/>
      <c r="SYR25"/>
      <c r="SYS25"/>
      <c r="SYT25"/>
      <c r="SYU25"/>
      <c r="SYV25"/>
      <c r="SYW25"/>
      <c r="SYX25"/>
      <c r="SYY25"/>
      <c r="SYZ25"/>
      <c r="SZA25"/>
      <c r="SZB25"/>
      <c r="SZC25"/>
      <c r="SZD25"/>
      <c r="SZE25"/>
      <c r="SZF25"/>
      <c r="SZG25"/>
      <c r="SZH25"/>
      <c r="SZI25"/>
      <c r="SZJ25"/>
      <c r="SZK25"/>
      <c r="SZL25"/>
      <c r="SZM25"/>
      <c r="SZN25"/>
      <c r="SZO25"/>
      <c r="SZP25"/>
      <c r="SZQ25"/>
      <c r="SZR25"/>
      <c r="SZS25"/>
      <c r="SZT25"/>
      <c r="SZU25"/>
      <c r="SZV25"/>
      <c r="SZW25"/>
      <c r="SZX25"/>
      <c r="SZY25"/>
      <c r="SZZ25"/>
      <c r="TAA25"/>
      <c r="TAB25"/>
      <c r="TAC25"/>
      <c r="TAD25"/>
      <c r="TAE25"/>
      <c r="TAF25"/>
      <c r="TAG25"/>
      <c r="TAH25"/>
      <c r="TAI25"/>
      <c r="TAJ25"/>
      <c r="TAK25"/>
      <c r="TAL25"/>
      <c r="TAM25"/>
      <c r="TAN25"/>
      <c r="TAO25"/>
      <c r="TAP25"/>
      <c r="TAQ25"/>
      <c r="TAR25"/>
      <c r="TAS25"/>
      <c r="TAT25"/>
      <c r="TAU25"/>
      <c r="TAV25"/>
      <c r="TAW25"/>
      <c r="TAX25"/>
      <c r="TAY25"/>
      <c r="TAZ25"/>
      <c r="TBA25"/>
      <c r="TBB25"/>
      <c r="TBC25"/>
      <c r="TBD25"/>
      <c r="TBE25"/>
      <c r="TBF25"/>
      <c r="TBG25"/>
      <c r="TBH25"/>
      <c r="TBI25"/>
      <c r="TBJ25"/>
      <c r="TBK25"/>
      <c r="TBL25"/>
      <c r="TBM25"/>
      <c r="TBN25"/>
      <c r="TBO25"/>
      <c r="TBP25"/>
      <c r="TBQ25"/>
      <c r="TBR25"/>
      <c r="TBS25"/>
      <c r="TBT25"/>
      <c r="TBU25"/>
      <c r="TBV25"/>
      <c r="TBW25"/>
      <c r="TBX25"/>
      <c r="TBY25"/>
      <c r="TBZ25"/>
      <c r="TCA25"/>
      <c r="TCB25"/>
      <c r="TCC25"/>
      <c r="TCD25"/>
      <c r="TCE25"/>
      <c r="TCF25"/>
      <c r="TCG25"/>
      <c r="TCH25"/>
      <c r="TCI25"/>
      <c r="TCJ25"/>
      <c r="TCK25"/>
      <c r="TCL25"/>
      <c r="TCM25"/>
      <c r="TCN25"/>
      <c r="TCO25"/>
      <c r="TCP25"/>
      <c r="TCQ25"/>
      <c r="TCR25"/>
      <c r="TCS25"/>
      <c r="TCT25"/>
      <c r="TCU25"/>
      <c r="TCV25"/>
      <c r="TCW25"/>
      <c r="TCX25"/>
      <c r="TCY25"/>
      <c r="TCZ25"/>
      <c r="TDA25"/>
      <c r="TDB25"/>
      <c r="TDC25"/>
      <c r="TDD25"/>
      <c r="TDE25"/>
      <c r="TDF25"/>
      <c r="TDG25"/>
      <c r="TDH25"/>
      <c r="TDI25"/>
      <c r="TDJ25"/>
      <c r="TDK25"/>
      <c r="TDL25"/>
      <c r="TDM25"/>
      <c r="TDN25"/>
      <c r="TDO25"/>
      <c r="TDP25"/>
      <c r="TDQ25"/>
      <c r="TDR25"/>
      <c r="TDS25"/>
      <c r="TDT25"/>
      <c r="TDU25"/>
      <c r="TDV25"/>
      <c r="TDW25"/>
      <c r="TDX25"/>
      <c r="TDY25"/>
      <c r="TDZ25"/>
      <c r="TEA25"/>
      <c r="TEB25"/>
      <c r="TEC25"/>
      <c r="TED25"/>
      <c r="TEE25"/>
      <c r="TEF25"/>
      <c r="TEG25"/>
      <c r="TEH25"/>
      <c r="TEI25"/>
      <c r="TEJ25"/>
      <c r="TEK25"/>
      <c r="TEL25"/>
      <c r="TEM25"/>
      <c r="TEN25"/>
      <c r="TEO25"/>
      <c r="TEP25"/>
      <c r="TEQ25"/>
      <c r="TER25"/>
      <c r="TES25"/>
      <c r="TET25"/>
      <c r="TEU25"/>
      <c r="TEV25"/>
      <c r="TEW25"/>
      <c r="TEX25"/>
      <c r="TEY25"/>
      <c r="TEZ25"/>
      <c r="TFA25"/>
      <c r="TFB25"/>
      <c r="TFC25"/>
      <c r="TFD25"/>
      <c r="TFE25"/>
      <c r="TFF25"/>
      <c r="TFG25"/>
      <c r="TFH25"/>
      <c r="TFI25"/>
      <c r="TFJ25"/>
      <c r="TFK25"/>
      <c r="TFL25"/>
      <c r="TFM25"/>
      <c r="TFN25"/>
      <c r="TFO25"/>
      <c r="TFP25"/>
      <c r="TFQ25"/>
      <c r="TFR25"/>
      <c r="TFS25"/>
      <c r="TFT25"/>
      <c r="TFU25"/>
      <c r="TFV25"/>
      <c r="TFW25"/>
      <c r="TFX25"/>
      <c r="TFY25"/>
      <c r="TFZ25"/>
      <c r="TGA25"/>
      <c r="TGB25"/>
      <c r="TGC25"/>
      <c r="TGD25"/>
      <c r="TGE25"/>
      <c r="TGF25"/>
      <c r="TGG25"/>
      <c r="TGH25"/>
      <c r="TGI25"/>
      <c r="TGJ25"/>
      <c r="TGK25"/>
      <c r="TGL25"/>
      <c r="TGM25"/>
      <c r="TGN25"/>
      <c r="TGO25"/>
      <c r="TGP25"/>
      <c r="TGQ25"/>
      <c r="TGR25"/>
      <c r="TGS25"/>
      <c r="TGT25"/>
      <c r="TGU25"/>
      <c r="TGV25"/>
      <c r="TGW25"/>
      <c r="TGX25"/>
      <c r="TGY25"/>
      <c r="TGZ25"/>
      <c r="THA25"/>
      <c r="THB25"/>
      <c r="THC25"/>
      <c r="THD25"/>
      <c r="THE25"/>
      <c r="THF25"/>
      <c r="THG25"/>
      <c r="THH25"/>
      <c r="THI25"/>
      <c r="THJ25"/>
      <c r="THK25"/>
      <c r="THL25"/>
      <c r="THM25"/>
      <c r="THN25"/>
      <c r="THO25"/>
      <c r="THP25"/>
      <c r="THQ25"/>
      <c r="THR25"/>
      <c r="THS25"/>
      <c r="THT25"/>
      <c r="THU25"/>
      <c r="THV25"/>
      <c r="THW25"/>
      <c r="THX25"/>
      <c r="THY25"/>
      <c r="THZ25"/>
      <c r="TIA25"/>
      <c r="TIB25"/>
      <c r="TIC25"/>
      <c r="TID25"/>
      <c r="TIE25"/>
      <c r="TIF25"/>
      <c r="TIG25"/>
      <c r="TIH25"/>
      <c r="TII25"/>
      <c r="TIJ25"/>
      <c r="TIK25"/>
      <c r="TIL25"/>
      <c r="TIM25"/>
      <c r="TIN25"/>
      <c r="TIO25"/>
      <c r="TIP25"/>
      <c r="TIQ25"/>
      <c r="TIR25"/>
      <c r="TIS25"/>
      <c r="TIT25"/>
      <c r="TIU25"/>
      <c r="TIV25"/>
      <c r="TIW25"/>
      <c r="TIX25"/>
      <c r="TIY25"/>
      <c r="TIZ25"/>
      <c r="TJA25"/>
      <c r="TJB25"/>
      <c r="TJC25"/>
      <c r="TJD25"/>
      <c r="TJE25"/>
      <c r="TJF25"/>
      <c r="TJG25"/>
      <c r="TJH25"/>
      <c r="TJI25"/>
      <c r="TJJ25"/>
      <c r="TJK25"/>
      <c r="TJL25"/>
      <c r="TJM25"/>
      <c r="TJN25"/>
      <c r="TJO25"/>
      <c r="TJP25"/>
      <c r="TJQ25"/>
      <c r="TJR25"/>
      <c r="TJS25"/>
      <c r="TJT25"/>
      <c r="TJU25"/>
      <c r="TJV25"/>
      <c r="TJW25"/>
      <c r="TJX25"/>
      <c r="TJY25"/>
      <c r="TJZ25"/>
      <c r="TKA25"/>
      <c r="TKB25"/>
      <c r="TKC25"/>
      <c r="TKD25"/>
      <c r="TKE25"/>
      <c r="TKF25"/>
      <c r="TKG25"/>
      <c r="TKH25"/>
      <c r="TKI25"/>
      <c r="TKJ25"/>
      <c r="TKK25"/>
      <c r="TKL25"/>
      <c r="TKM25"/>
      <c r="TKN25"/>
      <c r="TKO25"/>
      <c r="TKP25"/>
      <c r="TKQ25"/>
      <c r="TKR25"/>
      <c r="TKS25"/>
      <c r="TKT25"/>
      <c r="TKU25"/>
      <c r="TKV25"/>
      <c r="TKW25"/>
      <c r="TKX25"/>
      <c r="TKY25"/>
      <c r="TKZ25"/>
      <c r="TLA25"/>
      <c r="TLB25"/>
      <c r="TLC25"/>
      <c r="TLD25"/>
      <c r="TLE25"/>
      <c r="TLF25"/>
      <c r="TLG25"/>
      <c r="TLH25"/>
      <c r="TLI25"/>
      <c r="TLJ25"/>
      <c r="TLK25"/>
      <c r="TLL25"/>
      <c r="TLM25"/>
      <c r="TLN25"/>
      <c r="TLO25"/>
      <c r="TLP25"/>
      <c r="TLQ25"/>
      <c r="TLR25"/>
      <c r="TLS25"/>
      <c r="TLT25"/>
      <c r="TLU25"/>
      <c r="TLV25"/>
      <c r="TLW25"/>
      <c r="TLX25"/>
      <c r="TLY25"/>
      <c r="TLZ25"/>
      <c r="TMA25"/>
      <c r="TMB25"/>
      <c r="TMC25"/>
      <c r="TMD25"/>
      <c r="TME25"/>
      <c r="TMF25"/>
      <c r="TMG25"/>
      <c r="TMH25"/>
      <c r="TMI25"/>
      <c r="TMJ25"/>
      <c r="TMK25"/>
      <c r="TML25"/>
      <c r="TMM25"/>
      <c r="TMN25"/>
      <c r="TMO25"/>
      <c r="TMP25"/>
      <c r="TMQ25"/>
      <c r="TMR25"/>
      <c r="TMS25"/>
      <c r="TMT25"/>
      <c r="TMU25"/>
      <c r="TMV25"/>
      <c r="TMW25"/>
      <c r="TMX25"/>
      <c r="TMY25"/>
      <c r="TMZ25"/>
      <c r="TNA25"/>
      <c r="TNB25"/>
      <c r="TNC25"/>
      <c r="TND25"/>
      <c r="TNE25"/>
      <c r="TNF25"/>
      <c r="TNG25"/>
      <c r="TNH25"/>
      <c r="TNI25"/>
      <c r="TNJ25"/>
      <c r="TNK25"/>
      <c r="TNL25"/>
      <c r="TNM25"/>
      <c r="TNN25"/>
      <c r="TNO25"/>
      <c r="TNP25"/>
      <c r="TNQ25"/>
      <c r="TNR25"/>
      <c r="TNS25"/>
      <c r="TNT25"/>
      <c r="TNU25"/>
      <c r="TNV25"/>
      <c r="TNW25"/>
      <c r="TNX25"/>
      <c r="TNY25"/>
      <c r="TNZ25"/>
      <c r="TOA25"/>
      <c r="TOB25"/>
      <c r="TOC25"/>
      <c r="TOD25"/>
      <c r="TOE25"/>
      <c r="TOF25"/>
      <c r="TOG25"/>
      <c r="TOH25"/>
      <c r="TOI25"/>
      <c r="TOJ25"/>
      <c r="TOK25"/>
      <c r="TOL25"/>
      <c r="TOM25"/>
      <c r="TON25"/>
      <c r="TOO25"/>
      <c r="TOP25"/>
      <c r="TOQ25"/>
      <c r="TOR25"/>
      <c r="TOS25"/>
      <c r="TOT25"/>
      <c r="TOU25"/>
      <c r="TOV25"/>
      <c r="TOW25"/>
      <c r="TOX25"/>
      <c r="TOY25"/>
      <c r="TOZ25"/>
      <c r="TPA25"/>
      <c r="TPB25"/>
      <c r="TPC25"/>
      <c r="TPD25"/>
      <c r="TPE25"/>
      <c r="TPF25"/>
      <c r="TPG25"/>
      <c r="TPH25"/>
      <c r="TPI25"/>
      <c r="TPJ25"/>
      <c r="TPK25"/>
      <c r="TPL25"/>
      <c r="TPM25"/>
      <c r="TPN25"/>
      <c r="TPO25"/>
      <c r="TPP25"/>
      <c r="TPQ25"/>
      <c r="TPR25"/>
      <c r="TPS25"/>
      <c r="TPT25"/>
      <c r="TPU25"/>
      <c r="TPV25"/>
      <c r="TPW25"/>
      <c r="TPX25"/>
      <c r="TPY25"/>
      <c r="TPZ25"/>
      <c r="TQA25"/>
      <c r="TQB25"/>
      <c r="TQC25"/>
      <c r="TQD25"/>
      <c r="TQE25"/>
      <c r="TQF25"/>
      <c r="TQG25"/>
      <c r="TQH25"/>
      <c r="TQI25"/>
      <c r="TQJ25"/>
      <c r="TQK25"/>
      <c r="TQL25"/>
      <c r="TQM25"/>
      <c r="TQN25"/>
      <c r="TQO25"/>
      <c r="TQP25"/>
      <c r="TQQ25"/>
      <c r="TQR25"/>
      <c r="TQS25"/>
      <c r="TQT25"/>
      <c r="TQU25"/>
      <c r="TQV25"/>
      <c r="TQW25"/>
      <c r="TQX25"/>
      <c r="TQY25"/>
      <c r="TQZ25"/>
      <c r="TRA25"/>
      <c r="TRB25"/>
      <c r="TRC25"/>
      <c r="TRD25"/>
      <c r="TRE25"/>
      <c r="TRF25"/>
      <c r="TRG25"/>
      <c r="TRH25"/>
      <c r="TRI25"/>
      <c r="TRJ25"/>
      <c r="TRK25"/>
      <c r="TRL25"/>
      <c r="TRM25"/>
      <c r="TRN25"/>
      <c r="TRO25"/>
      <c r="TRP25"/>
      <c r="TRQ25"/>
      <c r="TRR25"/>
      <c r="TRS25"/>
      <c r="TRT25"/>
      <c r="TRU25"/>
      <c r="TRV25"/>
      <c r="TRW25"/>
      <c r="TRX25"/>
      <c r="TRY25"/>
      <c r="TRZ25"/>
      <c r="TSA25"/>
      <c r="TSB25"/>
      <c r="TSC25"/>
      <c r="TSD25"/>
      <c r="TSE25"/>
      <c r="TSF25"/>
      <c r="TSG25"/>
      <c r="TSH25"/>
      <c r="TSI25"/>
      <c r="TSJ25"/>
      <c r="TSK25"/>
      <c r="TSL25"/>
      <c r="TSM25"/>
      <c r="TSN25"/>
      <c r="TSO25"/>
      <c r="TSP25"/>
      <c r="TSQ25"/>
      <c r="TSR25"/>
      <c r="TSS25"/>
      <c r="TST25"/>
      <c r="TSU25"/>
      <c r="TSV25"/>
      <c r="TSW25"/>
      <c r="TSX25"/>
      <c r="TSY25"/>
      <c r="TSZ25"/>
      <c r="TTA25"/>
      <c r="TTB25"/>
      <c r="TTC25"/>
      <c r="TTD25"/>
      <c r="TTE25"/>
      <c r="TTF25"/>
      <c r="TTG25"/>
      <c r="TTH25"/>
      <c r="TTI25"/>
      <c r="TTJ25"/>
      <c r="TTK25"/>
      <c r="TTL25"/>
      <c r="TTM25"/>
      <c r="TTN25"/>
      <c r="TTO25"/>
      <c r="TTP25"/>
      <c r="TTQ25"/>
      <c r="TTR25"/>
      <c r="TTS25"/>
      <c r="TTT25"/>
      <c r="TTU25"/>
      <c r="TTV25"/>
      <c r="TTW25"/>
      <c r="TTX25"/>
      <c r="TTY25"/>
      <c r="TTZ25"/>
      <c r="TUA25"/>
      <c r="TUB25"/>
      <c r="TUC25"/>
      <c r="TUD25"/>
      <c r="TUE25"/>
      <c r="TUF25"/>
      <c r="TUG25"/>
      <c r="TUH25"/>
      <c r="TUI25"/>
      <c r="TUJ25"/>
      <c r="TUK25"/>
      <c r="TUL25"/>
      <c r="TUM25"/>
      <c r="TUN25"/>
      <c r="TUO25"/>
      <c r="TUP25"/>
      <c r="TUQ25"/>
      <c r="TUR25"/>
      <c r="TUS25"/>
      <c r="TUT25"/>
      <c r="TUU25"/>
      <c r="TUV25"/>
      <c r="TUW25"/>
      <c r="TUX25"/>
      <c r="TUY25"/>
      <c r="TUZ25"/>
      <c r="TVA25"/>
      <c r="TVB25"/>
      <c r="TVC25"/>
      <c r="TVD25"/>
      <c r="TVE25"/>
      <c r="TVF25"/>
      <c r="TVG25"/>
      <c r="TVH25"/>
      <c r="TVI25"/>
      <c r="TVJ25"/>
      <c r="TVK25"/>
      <c r="TVL25"/>
      <c r="TVM25"/>
      <c r="TVN25"/>
      <c r="TVO25"/>
      <c r="TVP25"/>
      <c r="TVQ25"/>
      <c r="TVR25"/>
      <c r="TVS25"/>
      <c r="TVT25"/>
      <c r="TVU25"/>
      <c r="TVV25"/>
      <c r="TVW25"/>
      <c r="TVX25"/>
      <c r="TVY25"/>
      <c r="TVZ25"/>
      <c r="TWA25"/>
      <c r="TWB25"/>
      <c r="TWC25"/>
      <c r="TWD25"/>
      <c r="TWE25"/>
      <c r="TWF25"/>
      <c r="TWG25"/>
      <c r="TWH25"/>
      <c r="TWI25"/>
      <c r="TWJ25"/>
      <c r="TWK25"/>
      <c r="TWL25"/>
      <c r="TWM25"/>
      <c r="TWN25"/>
      <c r="TWO25"/>
      <c r="TWP25"/>
      <c r="TWQ25"/>
      <c r="TWR25"/>
      <c r="TWS25"/>
      <c r="TWT25"/>
      <c r="TWU25"/>
      <c r="TWV25"/>
      <c r="TWW25"/>
      <c r="TWX25"/>
      <c r="TWY25"/>
      <c r="TWZ25"/>
      <c r="TXA25"/>
      <c r="TXB25"/>
      <c r="TXC25"/>
      <c r="TXD25"/>
      <c r="TXE25"/>
      <c r="TXF25"/>
      <c r="TXG25"/>
      <c r="TXH25"/>
      <c r="TXI25"/>
      <c r="TXJ25"/>
      <c r="TXK25"/>
      <c r="TXL25"/>
      <c r="TXM25"/>
      <c r="TXN25"/>
      <c r="TXO25"/>
      <c r="TXP25"/>
      <c r="TXQ25"/>
      <c r="TXR25"/>
      <c r="TXS25"/>
      <c r="TXT25"/>
      <c r="TXU25"/>
      <c r="TXV25"/>
      <c r="TXW25"/>
      <c r="TXX25"/>
      <c r="TXY25"/>
      <c r="TXZ25"/>
      <c r="TYA25"/>
      <c r="TYB25"/>
      <c r="TYC25"/>
      <c r="TYD25"/>
      <c r="TYE25"/>
      <c r="TYF25"/>
      <c r="TYG25"/>
      <c r="TYH25"/>
      <c r="TYI25"/>
      <c r="TYJ25"/>
      <c r="TYK25"/>
      <c r="TYL25"/>
      <c r="TYM25"/>
      <c r="TYN25"/>
      <c r="TYO25"/>
      <c r="TYP25"/>
      <c r="TYQ25"/>
      <c r="TYR25"/>
      <c r="TYS25"/>
      <c r="TYT25"/>
      <c r="TYU25"/>
      <c r="TYV25"/>
      <c r="TYW25"/>
      <c r="TYX25"/>
      <c r="TYY25"/>
      <c r="TYZ25"/>
      <c r="TZA25"/>
      <c r="TZB25"/>
      <c r="TZC25"/>
      <c r="TZD25"/>
      <c r="TZE25"/>
      <c r="TZF25"/>
      <c r="TZG25"/>
      <c r="TZH25"/>
      <c r="TZI25"/>
      <c r="TZJ25"/>
      <c r="TZK25"/>
      <c r="TZL25"/>
      <c r="TZM25"/>
      <c r="TZN25"/>
      <c r="TZO25"/>
      <c r="TZP25"/>
      <c r="TZQ25"/>
      <c r="TZR25"/>
      <c r="TZS25"/>
      <c r="TZT25"/>
      <c r="TZU25"/>
      <c r="TZV25"/>
      <c r="TZW25"/>
      <c r="TZX25"/>
      <c r="TZY25"/>
      <c r="TZZ25"/>
      <c r="UAA25"/>
      <c r="UAB25"/>
      <c r="UAC25"/>
      <c r="UAD25"/>
      <c r="UAE25"/>
      <c r="UAF25"/>
      <c r="UAG25"/>
      <c r="UAH25"/>
      <c r="UAI25"/>
      <c r="UAJ25"/>
      <c r="UAK25"/>
      <c r="UAL25"/>
      <c r="UAM25"/>
      <c r="UAN25"/>
      <c r="UAO25"/>
      <c r="UAP25"/>
      <c r="UAQ25"/>
      <c r="UAR25"/>
      <c r="UAS25"/>
      <c r="UAT25"/>
      <c r="UAU25"/>
      <c r="UAV25"/>
      <c r="UAW25"/>
      <c r="UAX25"/>
      <c r="UAY25"/>
      <c r="UAZ25"/>
      <c r="UBA25"/>
      <c r="UBB25"/>
      <c r="UBC25"/>
      <c r="UBD25"/>
      <c r="UBE25"/>
      <c r="UBF25"/>
      <c r="UBG25"/>
      <c r="UBH25"/>
      <c r="UBI25"/>
      <c r="UBJ25"/>
      <c r="UBK25"/>
      <c r="UBL25"/>
      <c r="UBM25"/>
      <c r="UBN25"/>
      <c r="UBO25"/>
      <c r="UBP25"/>
      <c r="UBQ25"/>
      <c r="UBR25"/>
      <c r="UBS25"/>
      <c r="UBT25"/>
      <c r="UBU25"/>
      <c r="UBV25"/>
      <c r="UBW25"/>
      <c r="UBX25"/>
      <c r="UBY25"/>
      <c r="UBZ25"/>
      <c r="UCA25"/>
      <c r="UCB25"/>
      <c r="UCC25"/>
      <c r="UCD25"/>
      <c r="UCE25"/>
      <c r="UCF25"/>
      <c r="UCG25"/>
      <c r="UCH25"/>
      <c r="UCI25"/>
      <c r="UCJ25"/>
      <c r="UCK25"/>
      <c r="UCL25"/>
      <c r="UCM25"/>
      <c r="UCN25"/>
      <c r="UCO25"/>
      <c r="UCP25"/>
      <c r="UCQ25"/>
      <c r="UCR25"/>
      <c r="UCS25"/>
      <c r="UCT25"/>
      <c r="UCU25"/>
      <c r="UCV25"/>
      <c r="UCW25"/>
      <c r="UCX25"/>
      <c r="UCY25"/>
      <c r="UCZ25"/>
      <c r="UDA25"/>
      <c r="UDB25"/>
      <c r="UDC25"/>
      <c r="UDD25"/>
      <c r="UDE25"/>
      <c r="UDF25"/>
      <c r="UDG25"/>
      <c r="UDH25"/>
      <c r="UDI25"/>
      <c r="UDJ25"/>
      <c r="UDK25"/>
      <c r="UDL25"/>
      <c r="UDM25"/>
      <c r="UDN25"/>
      <c r="UDO25"/>
      <c r="UDP25"/>
      <c r="UDQ25"/>
      <c r="UDR25"/>
      <c r="UDS25"/>
      <c r="UDT25"/>
      <c r="UDU25"/>
      <c r="UDV25"/>
      <c r="UDW25"/>
      <c r="UDX25"/>
      <c r="UDY25"/>
      <c r="UDZ25"/>
      <c r="UEA25"/>
      <c r="UEB25"/>
      <c r="UEC25"/>
      <c r="UED25"/>
      <c r="UEE25"/>
      <c r="UEF25"/>
      <c r="UEG25"/>
      <c r="UEH25"/>
      <c r="UEI25"/>
      <c r="UEJ25"/>
      <c r="UEK25"/>
      <c r="UEL25"/>
      <c r="UEM25"/>
      <c r="UEN25"/>
      <c r="UEO25"/>
      <c r="UEP25"/>
      <c r="UEQ25"/>
      <c r="UER25"/>
      <c r="UES25"/>
      <c r="UET25"/>
      <c r="UEU25"/>
      <c r="UEV25"/>
      <c r="UEW25"/>
      <c r="UEX25"/>
      <c r="UEY25"/>
      <c r="UEZ25"/>
      <c r="UFA25"/>
      <c r="UFB25"/>
      <c r="UFC25"/>
      <c r="UFD25"/>
      <c r="UFE25"/>
      <c r="UFF25"/>
      <c r="UFG25"/>
      <c r="UFH25"/>
      <c r="UFI25"/>
      <c r="UFJ25"/>
      <c r="UFK25"/>
      <c r="UFL25"/>
      <c r="UFM25"/>
      <c r="UFN25"/>
      <c r="UFO25"/>
      <c r="UFP25"/>
      <c r="UFQ25"/>
      <c r="UFR25"/>
      <c r="UFS25"/>
      <c r="UFT25"/>
      <c r="UFU25"/>
      <c r="UFV25"/>
      <c r="UFW25"/>
      <c r="UFX25"/>
      <c r="UFY25"/>
      <c r="UFZ25"/>
      <c r="UGA25"/>
      <c r="UGB25"/>
      <c r="UGC25"/>
      <c r="UGD25"/>
      <c r="UGE25"/>
      <c r="UGF25"/>
      <c r="UGG25"/>
      <c r="UGH25"/>
      <c r="UGI25"/>
      <c r="UGJ25"/>
      <c r="UGK25"/>
      <c r="UGL25"/>
      <c r="UGM25"/>
      <c r="UGN25"/>
      <c r="UGO25"/>
      <c r="UGP25"/>
      <c r="UGQ25"/>
      <c r="UGR25"/>
      <c r="UGS25"/>
      <c r="UGT25"/>
      <c r="UGU25"/>
      <c r="UGV25"/>
      <c r="UGW25"/>
      <c r="UGX25"/>
      <c r="UGY25"/>
      <c r="UGZ25"/>
      <c r="UHA25"/>
      <c r="UHB25"/>
      <c r="UHC25"/>
      <c r="UHD25"/>
      <c r="UHE25"/>
      <c r="UHF25"/>
      <c r="UHG25"/>
      <c r="UHH25"/>
      <c r="UHI25"/>
      <c r="UHJ25"/>
      <c r="UHK25"/>
      <c r="UHL25"/>
      <c r="UHM25"/>
      <c r="UHN25"/>
      <c r="UHO25"/>
      <c r="UHP25"/>
      <c r="UHQ25"/>
      <c r="UHR25"/>
      <c r="UHS25"/>
      <c r="UHT25"/>
      <c r="UHU25"/>
      <c r="UHV25"/>
      <c r="UHW25"/>
      <c r="UHX25"/>
      <c r="UHY25"/>
      <c r="UHZ25"/>
      <c r="UIA25"/>
      <c r="UIB25"/>
      <c r="UIC25"/>
      <c r="UID25"/>
      <c r="UIE25"/>
      <c r="UIF25"/>
      <c r="UIG25"/>
      <c r="UIH25"/>
      <c r="UII25"/>
      <c r="UIJ25"/>
      <c r="UIK25"/>
      <c r="UIL25"/>
      <c r="UIM25"/>
      <c r="UIN25"/>
      <c r="UIO25"/>
      <c r="UIP25"/>
      <c r="UIQ25"/>
      <c r="UIR25"/>
      <c r="UIS25"/>
      <c r="UIT25"/>
      <c r="UIU25"/>
      <c r="UIV25"/>
      <c r="UIW25"/>
      <c r="UIX25"/>
      <c r="UIY25"/>
      <c r="UIZ25"/>
      <c r="UJA25"/>
      <c r="UJB25"/>
      <c r="UJC25"/>
      <c r="UJD25"/>
      <c r="UJE25"/>
      <c r="UJF25"/>
      <c r="UJG25"/>
      <c r="UJH25"/>
      <c r="UJI25"/>
      <c r="UJJ25"/>
      <c r="UJK25"/>
      <c r="UJL25"/>
      <c r="UJM25"/>
      <c r="UJN25"/>
      <c r="UJO25"/>
      <c r="UJP25"/>
      <c r="UJQ25"/>
      <c r="UJR25"/>
      <c r="UJS25"/>
      <c r="UJT25"/>
      <c r="UJU25"/>
      <c r="UJV25"/>
      <c r="UJW25"/>
      <c r="UJX25"/>
      <c r="UJY25"/>
      <c r="UJZ25"/>
      <c r="UKA25"/>
      <c r="UKB25"/>
      <c r="UKC25"/>
      <c r="UKD25"/>
      <c r="UKE25"/>
      <c r="UKF25"/>
      <c r="UKG25"/>
      <c r="UKH25"/>
      <c r="UKI25"/>
      <c r="UKJ25"/>
      <c r="UKK25"/>
      <c r="UKL25"/>
      <c r="UKM25"/>
      <c r="UKN25"/>
      <c r="UKO25"/>
      <c r="UKP25"/>
      <c r="UKQ25"/>
      <c r="UKR25"/>
      <c r="UKS25"/>
      <c r="UKT25"/>
      <c r="UKU25"/>
      <c r="UKV25"/>
      <c r="UKW25"/>
      <c r="UKX25"/>
      <c r="UKY25"/>
      <c r="UKZ25"/>
      <c r="ULA25"/>
      <c r="ULB25"/>
      <c r="ULC25"/>
      <c r="ULD25"/>
      <c r="ULE25"/>
      <c r="ULF25"/>
      <c r="ULG25"/>
      <c r="ULH25"/>
      <c r="ULI25"/>
      <c r="ULJ25"/>
      <c r="ULK25"/>
      <c r="ULL25"/>
      <c r="ULM25"/>
      <c r="ULN25"/>
      <c r="ULO25"/>
      <c r="ULP25"/>
      <c r="ULQ25"/>
      <c r="ULR25"/>
      <c r="ULS25"/>
      <c r="ULT25"/>
      <c r="ULU25"/>
      <c r="ULV25"/>
      <c r="ULW25"/>
      <c r="ULX25"/>
      <c r="ULY25"/>
      <c r="ULZ25"/>
      <c r="UMA25"/>
      <c r="UMB25"/>
      <c r="UMC25"/>
      <c r="UMD25"/>
      <c r="UME25"/>
      <c r="UMF25"/>
      <c r="UMG25"/>
      <c r="UMH25"/>
      <c r="UMI25"/>
      <c r="UMJ25"/>
      <c r="UMK25"/>
      <c r="UML25"/>
      <c r="UMM25"/>
      <c r="UMN25"/>
      <c r="UMO25"/>
      <c r="UMP25"/>
      <c r="UMQ25"/>
      <c r="UMR25"/>
      <c r="UMS25"/>
      <c r="UMT25"/>
      <c r="UMU25"/>
      <c r="UMV25"/>
      <c r="UMW25"/>
      <c r="UMX25"/>
      <c r="UMY25"/>
      <c r="UMZ25"/>
      <c r="UNA25"/>
      <c r="UNB25"/>
      <c r="UNC25"/>
      <c r="UND25"/>
      <c r="UNE25"/>
      <c r="UNF25"/>
      <c r="UNG25"/>
      <c r="UNH25"/>
      <c r="UNI25"/>
      <c r="UNJ25"/>
      <c r="UNK25"/>
      <c r="UNL25"/>
      <c r="UNM25"/>
      <c r="UNN25"/>
      <c r="UNO25"/>
      <c r="UNP25"/>
      <c r="UNQ25"/>
      <c r="UNR25"/>
      <c r="UNS25"/>
      <c r="UNT25"/>
      <c r="UNU25"/>
      <c r="UNV25"/>
      <c r="UNW25"/>
      <c r="UNX25"/>
      <c r="UNY25"/>
      <c r="UNZ25"/>
      <c r="UOA25"/>
      <c r="UOB25"/>
      <c r="UOC25"/>
      <c r="UOD25"/>
      <c r="UOE25"/>
      <c r="UOF25"/>
      <c r="UOG25"/>
      <c r="UOH25"/>
      <c r="UOI25"/>
      <c r="UOJ25"/>
      <c r="UOK25"/>
      <c r="UOL25"/>
      <c r="UOM25"/>
      <c r="UON25"/>
      <c r="UOO25"/>
      <c r="UOP25"/>
      <c r="UOQ25"/>
      <c r="UOR25"/>
      <c r="UOS25"/>
      <c r="UOT25"/>
      <c r="UOU25"/>
      <c r="UOV25"/>
      <c r="UOW25"/>
      <c r="UOX25"/>
      <c r="UOY25"/>
      <c r="UOZ25"/>
      <c r="UPA25"/>
      <c r="UPB25"/>
      <c r="UPC25"/>
      <c r="UPD25"/>
      <c r="UPE25"/>
      <c r="UPF25"/>
      <c r="UPG25"/>
      <c r="UPH25"/>
      <c r="UPI25"/>
      <c r="UPJ25"/>
      <c r="UPK25"/>
      <c r="UPL25"/>
      <c r="UPM25"/>
      <c r="UPN25"/>
      <c r="UPO25"/>
      <c r="UPP25"/>
      <c r="UPQ25"/>
      <c r="UPR25"/>
      <c r="UPS25"/>
      <c r="UPT25"/>
      <c r="UPU25"/>
      <c r="UPV25"/>
      <c r="UPW25"/>
      <c r="UPX25"/>
      <c r="UPY25"/>
      <c r="UPZ25"/>
      <c r="UQA25"/>
      <c r="UQB25"/>
      <c r="UQC25"/>
      <c r="UQD25"/>
      <c r="UQE25"/>
      <c r="UQF25"/>
      <c r="UQG25"/>
      <c r="UQH25"/>
      <c r="UQI25"/>
      <c r="UQJ25"/>
      <c r="UQK25"/>
      <c r="UQL25"/>
      <c r="UQM25"/>
      <c r="UQN25"/>
      <c r="UQO25"/>
      <c r="UQP25"/>
      <c r="UQQ25"/>
      <c r="UQR25"/>
      <c r="UQS25"/>
      <c r="UQT25"/>
      <c r="UQU25"/>
      <c r="UQV25"/>
      <c r="UQW25"/>
      <c r="UQX25"/>
      <c r="UQY25"/>
      <c r="UQZ25"/>
      <c r="URA25"/>
      <c r="URB25"/>
      <c r="URC25"/>
      <c r="URD25"/>
      <c r="URE25"/>
      <c r="URF25"/>
      <c r="URG25"/>
      <c r="URH25"/>
      <c r="URI25"/>
      <c r="URJ25"/>
      <c r="URK25"/>
      <c r="URL25"/>
      <c r="URM25"/>
      <c r="URN25"/>
      <c r="URO25"/>
      <c r="URP25"/>
      <c r="URQ25"/>
      <c r="URR25"/>
      <c r="URS25"/>
      <c r="URT25"/>
      <c r="URU25"/>
      <c r="URV25"/>
      <c r="URW25"/>
      <c r="URX25"/>
      <c r="URY25"/>
      <c r="URZ25"/>
      <c r="USA25"/>
      <c r="USB25"/>
      <c r="USC25"/>
      <c r="USD25"/>
      <c r="USE25"/>
      <c r="USF25"/>
      <c r="USG25"/>
      <c r="USH25"/>
      <c r="USI25"/>
      <c r="USJ25"/>
      <c r="USK25"/>
      <c r="USL25"/>
      <c r="USM25"/>
      <c r="USN25"/>
      <c r="USO25"/>
      <c r="USP25"/>
      <c r="USQ25"/>
      <c r="USR25"/>
      <c r="USS25"/>
      <c r="UST25"/>
      <c r="USU25"/>
      <c r="USV25"/>
      <c r="USW25"/>
      <c r="USX25"/>
      <c r="USY25"/>
      <c r="USZ25"/>
      <c r="UTA25"/>
      <c r="UTB25"/>
      <c r="UTC25"/>
      <c r="UTD25"/>
      <c r="UTE25"/>
      <c r="UTF25"/>
      <c r="UTG25"/>
      <c r="UTH25"/>
      <c r="UTI25"/>
      <c r="UTJ25"/>
      <c r="UTK25"/>
      <c r="UTL25"/>
      <c r="UTM25"/>
      <c r="UTN25"/>
      <c r="UTO25"/>
      <c r="UTP25"/>
      <c r="UTQ25"/>
      <c r="UTR25"/>
      <c r="UTS25"/>
      <c r="UTT25"/>
      <c r="UTU25"/>
      <c r="UTV25"/>
      <c r="UTW25"/>
      <c r="UTX25"/>
      <c r="UTY25"/>
      <c r="UTZ25"/>
      <c r="UUA25"/>
      <c r="UUB25"/>
      <c r="UUC25"/>
      <c r="UUD25"/>
      <c r="UUE25"/>
      <c r="UUF25"/>
      <c r="UUG25"/>
      <c r="UUH25"/>
      <c r="UUI25"/>
      <c r="UUJ25"/>
      <c r="UUK25"/>
      <c r="UUL25"/>
      <c r="UUM25"/>
      <c r="UUN25"/>
      <c r="UUO25"/>
      <c r="UUP25"/>
      <c r="UUQ25"/>
      <c r="UUR25"/>
      <c r="UUS25"/>
      <c r="UUT25"/>
      <c r="UUU25"/>
      <c r="UUV25"/>
      <c r="UUW25"/>
      <c r="UUX25"/>
      <c r="UUY25"/>
      <c r="UUZ25"/>
      <c r="UVA25"/>
      <c r="UVB25"/>
      <c r="UVC25"/>
      <c r="UVD25"/>
      <c r="UVE25"/>
      <c r="UVF25"/>
      <c r="UVG25"/>
      <c r="UVH25"/>
      <c r="UVI25"/>
      <c r="UVJ25"/>
      <c r="UVK25"/>
      <c r="UVL25"/>
      <c r="UVM25"/>
      <c r="UVN25"/>
      <c r="UVO25"/>
      <c r="UVP25"/>
      <c r="UVQ25"/>
      <c r="UVR25"/>
      <c r="UVS25"/>
      <c r="UVT25"/>
      <c r="UVU25"/>
      <c r="UVV25"/>
      <c r="UVW25"/>
      <c r="UVX25"/>
      <c r="UVY25"/>
      <c r="UVZ25"/>
      <c r="UWA25"/>
      <c r="UWB25"/>
      <c r="UWC25"/>
      <c r="UWD25"/>
      <c r="UWE25"/>
      <c r="UWF25"/>
      <c r="UWG25"/>
      <c r="UWH25"/>
      <c r="UWI25"/>
      <c r="UWJ25"/>
      <c r="UWK25"/>
      <c r="UWL25"/>
      <c r="UWM25"/>
      <c r="UWN25"/>
      <c r="UWO25"/>
      <c r="UWP25"/>
      <c r="UWQ25"/>
      <c r="UWR25"/>
      <c r="UWS25"/>
      <c r="UWT25"/>
      <c r="UWU25"/>
      <c r="UWV25"/>
      <c r="UWW25"/>
      <c r="UWX25"/>
      <c r="UWY25"/>
      <c r="UWZ25"/>
      <c r="UXA25"/>
      <c r="UXB25"/>
      <c r="UXC25"/>
      <c r="UXD25"/>
      <c r="UXE25"/>
      <c r="UXF25"/>
      <c r="UXG25"/>
      <c r="UXH25"/>
      <c r="UXI25"/>
      <c r="UXJ25"/>
      <c r="UXK25"/>
      <c r="UXL25"/>
      <c r="UXM25"/>
      <c r="UXN25"/>
      <c r="UXO25"/>
      <c r="UXP25"/>
      <c r="UXQ25"/>
      <c r="UXR25"/>
      <c r="UXS25"/>
      <c r="UXT25"/>
      <c r="UXU25"/>
      <c r="UXV25"/>
      <c r="UXW25"/>
      <c r="UXX25"/>
      <c r="UXY25"/>
      <c r="UXZ25"/>
      <c r="UYA25"/>
      <c r="UYB25"/>
      <c r="UYC25"/>
      <c r="UYD25"/>
      <c r="UYE25"/>
      <c r="UYF25"/>
      <c r="UYG25"/>
      <c r="UYH25"/>
      <c r="UYI25"/>
      <c r="UYJ25"/>
      <c r="UYK25"/>
      <c r="UYL25"/>
      <c r="UYM25"/>
      <c r="UYN25"/>
      <c r="UYO25"/>
      <c r="UYP25"/>
      <c r="UYQ25"/>
      <c r="UYR25"/>
      <c r="UYS25"/>
      <c r="UYT25"/>
      <c r="UYU25"/>
      <c r="UYV25"/>
      <c r="UYW25"/>
      <c r="UYX25"/>
      <c r="UYY25"/>
      <c r="UYZ25"/>
      <c r="UZA25"/>
      <c r="UZB25"/>
      <c r="UZC25"/>
      <c r="UZD25"/>
      <c r="UZE25"/>
      <c r="UZF25"/>
      <c r="UZG25"/>
      <c r="UZH25"/>
      <c r="UZI25"/>
      <c r="UZJ25"/>
      <c r="UZK25"/>
      <c r="UZL25"/>
      <c r="UZM25"/>
      <c r="UZN25"/>
      <c r="UZO25"/>
      <c r="UZP25"/>
      <c r="UZQ25"/>
      <c r="UZR25"/>
      <c r="UZS25"/>
      <c r="UZT25"/>
      <c r="UZU25"/>
      <c r="UZV25"/>
      <c r="UZW25"/>
      <c r="UZX25"/>
      <c r="UZY25"/>
      <c r="UZZ25"/>
      <c r="VAA25"/>
      <c r="VAB25"/>
      <c r="VAC25"/>
      <c r="VAD25"/>
      <c r="VAE25"/>
      <c r="VAF25"/>
      <c r="VAG25"/>
      <c r="VAH25"/>
      <c r="VAI25"/>
      <c r="VAJ25"/>
      <c r="VAK25"/>
      <c r="VAL25"/>
      <c r="VAM25"/>
      <c r="VAN25"/>
      <c r="VAO25"/>
      <c r="VAP25"/>
      <c r="VAQ25"/>
      <c r="VAR25"/>
      <c r="VAS25"/>
      <c r="VAT25"/>
      <c r="VAU25"/>
      <c r="VAV25"/>
      <c r="VAW25"/>
      <c r="VAX25"/>
      <c r="VAY25"/>
      <c r="VAZ25"/>
      <c r="VBA25"/>
      <c r="VBB25"/>
      <c r="VBC25"/>
      <c r="VBD25"/>
      <c r="VBE25"/>
      <c r="VBF25"/>
      <c r="VBG25"/>
      <c r="VBH25"/>
      <c r="VBI25"/>
      <c r="VBJ25"/>
      <c r="VBK25"/>
      <c r="VBL25"/>
      <c r="VBM25"/>
      <c r="VBN25"/>
      <c r="VBO25"/>
      <c r="VBP25"/>
      <c r="VBQ25"/>
      <c r="VBR25"/>
      <c r="VBS25"/>
      <c r="VBT25"/>
      <c r="VBU25"/>
      <c r="VBV25"/>
      <c r="VBW25"/>
      <c r="VBX25"/>
      <c r="VBY25"/>
      <c r="VBZ25"/>
      <c r="VCA25"/>
      <c r="VCB25"/>
      <c r="VCC25"/>
      <c r="VCD25"/>
      <c r="VCE25"/>
      <c r="VCF25"/>
      <c r="VCG25"/>
      <c r="VCH25"/>
      <c r="VCI25"/>
      <c r="VCJ25"/>
      <c r="VCK25"/>
      <c r="VCL25"/>
      <c r="VCM25"/>
      <c r="VCN25"/>
      <c r="VCO25"/>
      <c r="VCP25"/>
      <c r="VCQ25"/>
      <c r="VCR25"/>
      <c r="VCS25"/>
      <c r="VCT25"/>
      <c r="VCU25"/>
      <c r="VCV25"/>
      <c r="VCW25"/>
      <c r="VCX25"/>
      <c r="VCY25"/>
      <c r="VCZ25"/>
      <c r="VDA25"/>
      <c r="VDB25"/>
      <c r="VDC25"/>
      <c r="VDD25"/>
      <c r="VDE25"/>
      <c r="VDF25"/>
      <c r="VDG25"/>
      <c r="VDH25"/>
      <c r="VDI25"/>
      <c r="VDJ25"/>
      <c r="VDK25"/>
      <c r="VDL25"/>
      <c r="VDM25"/>
      <c r="VDN25"/>
      <c r="VDO25"/>
      <c r="VDP25"/>
      <c r="VDQ25"/>
      <c r="VDR25"/>
      <c r="VDS25"/>
      <c r="VDT25"/>
      <c r="VDU25"/>
      <c r="VDV25"/>
      <c r="VDW25"/>
      <c r="VDX25"/>
      <c r="VDY25"/>
      <c r="VDZ25"/>
      <c r="VEA25"/>
      <c r="VEB25"/>
      <c r="VEC25"/>
      <c r="VED25"/>
      <c r="VEE25"/>
      <c r="VEF25"/>
      <c r="VEG25"/>
      <c r="VEH25"/>
      <c r="VEI25"/>
      <c r="VEJ25"/>
      <c r="VEK25"/>
      <c r="VEL25"/>
      <c r="VEM25"/>
      <c r="VEN25"/>
      <c r="VEO25"/>
      <c r="VEP25"/>
      <c r="VEQ25"/>
      <c r="VER25"/>
      <c r="VES25"/>
      <c r="VET25"/>
      <c r="VEU25"/>
      <c r="VEV25"/>
      <c r="VEW25"/>
      <c r="VEX25"/>
      <c r="VEY25"/>
      <c r="VEZ25"/>
      <c r="VFA25"/>
      <c r="VFB25"/>
      <c r="VFC25"/>
      <c r="VFD25"/>
      <c r="VFE25"/>
      <c r="VFF25"/>
      <c r="VFG25"/>
      <c r="VFH25"/>
      <c r="VFI25"/>
      <c r="VFJ25"/>
      <c r="VFK25"/>
      <c r="VFL25"/>
      <c r="VFM25"/>
      <c r="VFN25"/>
      <c r="VFO25"/>
      <c r="VFP25"/>
      <c r="VFQ25"/>
      <c r="VFR25"/>
      <c r="VFS25"/>
      <c r="VFT25"/>
      <c r="VFU25"/>
      <c r="VFV25"/>
      <c r="VFW25"/>
      <c r="VFX25"/>
      <c r="VFY25"/>
      <c r="VFZ25"/>
      <c r="VGA25"/>
      <c r="VGB25"/>
      <c r="VGC25"/>
      <c r="VGD25"/>
      <c r="VGE25"/>
      <c r="VGF25"/>
      <c r="VGG25"/>
      <c r="VGH25"/>
      <c r="VGI25"/>
      <c r="VGJ25"/>
      <c r="VGK25"/>
      <c r="VGL25"/>
      <c r="VGM25"/>
      <c r="VGN25"/>
      <c r="VGO25"/>
      <c r="VGP25"/>
      <c r="VGQ25"/>
      <c r="VGR25"/>
      <c r="VGS25"/>
      <c r="VGT25"/>
      <c r="VGU25"/>
      <c r="VGV25"/>
      <c r="VGW25"/>
      <c r="VGX25"/>
      <c r="VGY25"/>
      <c r="VGZ25"/>
      <c r="VHA25"/>
      <c r="VHB25"/>
      <c r="VHC25"/>
      <c r="VHD25"/>
      <c r="VHE25"/>
      <c r="VHF25"/>
      <c r="VHG25"/>
      <c r="VHH25"/>
      <c r="VHI25"/>
      <c r="VHJ25"/>
      <c r="VHK25"/>
      <c r="VHL25"/>
      <c r="VHM25"/>
      <c r="VHN25"/>
      <c r="VHO25"/>
      <c r="VHP25"/>
      <c r="VHQ25"/>
      <c r="VHR25"/>
      <c r="VHS25"/>
      <c r="VHT25"/>
      <c r="VHU25"/>
      <c r="VHV25"/>
      <c r="VHW25"/>
      <c r="VHX25"/>
      <c r="VHY25"/>
      <c r="VHZ25"/>
      <c r="VIA25"/>
      <c r="VIB25"/>
      <c r="VIC25"/>
      <c r="VID25"/>
      <c r="VIE25"/>
      <c r="VIF25"/>
      <c r="VIG25"/>
      <c r="VIH25"/>
      <c r="VII25"/>
      <c r="VIJ25"/>
      <c r="VIK25"/>
      <c r="VIL25"/>
      <c r="VIM25"/>
      <c r="VIN25"/>
      <c r="VIO25"/>
      <c r="VIP25"/>
      <c r="VIQ25"/>
      <c r="VIR25"/>
      <c r="VIS25"/>
      <c r="VIT25"/>
      <c r="VIU25"/>
      <c r="VIV25"/>
      <c r="VIW25"/>
      <c r="VIX25"/>
      <c r="VIY25"/>
      <c r="VIZ25"/>
      <c r="VJA25"/>
      <c r="VJB25"/>
      <c r="VJC25"/>
      <c r="VJD25"/>
      <c r="VJE25"/>
      <c r="VJF25"/>
      <c r="VJG25"/>
      <c r="VJH25"/>
      <c r="VJI25"/>
      <c r="VJJ25"/>
      <c r="VJK25"/>
      <c r="VJL25"/>
      <c r="VJM25"/>
      <c r="VJN25"/>
      <c r="VJO25"/>
      <c r="VJP25"/>
      <c r="VJQ25"/>
      <c r="VJR25"/>
      <c r="VJS25"/>
      <c r="VJT25"/>
      <c r="VJU25"/>
      <c r="VJV25"/>
      <c r="VJW25"/>
      <c r="VJX25"/>
      <c r="VJY25"/>
      <c r="VJZ25"/>
      <c r="VKA25"/>
      <c r="VKB25"/>
      <c r="VKC25"/>
      <c r="VKD25"/>
      <c r="VKE25"/>
      <c r="VKF25"/>
      <c r="VKG25"/>
      <c r="VKH25"/>
      <c r="VKI25"/>
      <c r="VKJ25"/>
      <c r="VKK25"/>
      <c r="VKL25"/>
      <c r="VKM25"/>
      <c r="VKN25"/>
      <c r="VKO25"/>
      <c r="VKP25"/>
      <c r="VKQ25"/>
      <c r="VKR25"/>
      <c r="VKS25"/>
      <c r="VKT25"/>
      <c r="VKU25"/>
      <c r="VKV25"/>
      <c r="VKW25"/>
      <c r="VKX25"/>
      <c r="VKY25"/>
      <c r="VKZ25"/>
      <c r="VLA25"/>
      <c r="VLB25"/>
      <c r="VLC25"/>
      <c r="VLD25"/>
      <c r="VLE25"/>
      <c r="VLF25"/>
      <c r="VLG25"/>
      <c r="VLH25"/>
      <c r="VLI25"/>
      <c r="VLJ25"/>
      <c r="VLK25"/>
      <c r="VLL25"/>
      <c r="VLM25"/>
      <c r="VLN25"/>
      <c r="VLO25"/>
      <c r="VLP25"/>
      <c r="VLQ25"/>
      <c r="VLR25"/>
      <c r="VLS25"/>
      <c r="VLT25"/>
      <c r="VLU25"/>
      <c r="VLV25"/>
      <c r="VLW25"/>
      <c r="VLX25"/>
      <c r="VLY25"/>
      <c r="VLZ25"/>
      <c r="VMA25"/>
      <c r="VMB25"/>
      <c r="VMC25"/>
      <c r="VMD25"/>
      <c r="VME25"/>
      <c r="VMF25"/>
      <c r="VMG25"/>
      <c r="VMH25"/>
      <c r="VMI25"/>
      <c r="VMJ25"/>
      <c r="VMK25"/>
      <c r="VML25"/>
      <c r="VMM25"/>
      <c r="VMN25"/>
      <c r="VMO25"/>
      <c r="VMP25"/>
      <c r="VMQ25"/>
      <c r="VMR25"/>
      <c r="VMS25"/>
      <c r="VMT25"/>
      <c r="VMU25"/>
      <c r="VMV25"/>
      <c r="VMW25"/>
      <c r="VMX25"/>
      <c r="VMY25"/>
      <c r="VMZ25"/>
      <c r="VNA25"/>
      <c r="VNB25"/>
      <c r="VNC25"/>
      <c r="VND25"/>
      <c r="VNE25"/>
      <c r="VNF25"/>
      <c r="VNG25"/>
      <c r="VNH25"/>
      <c r="VNI25"/>
      <c r="VNJ25"/>
      <c r="VNK25"/>
      <c r="VNL25"/>
      <c r="VNM25"/>
      <c r="VNN25"/>
      <c r="VNO25"/>
      <c r="VNP25"/>
      <c r="VNQ25"/>
      <c r="VNR25"/>
      <c r="VNS25"/>
      <c r="VNT25"/>
      <c r="VNU25"/>
      <c r="VNV25"/>
      <c r="VNW25"/>
      <c r="VNX25"/>
      <c r="VNY25"/>
      <c r="VNZ25"/>
      <c r="VOA25"/>
      <c r="VOB25"/>
      <c r="VOC25"/>
      <c r="VOD25"/>
      <c r="VOE25"/>
      <c r="VOF25"/>
      <c r="VOG25"/>
      <c r="VOH25"/>
      <c r="VOI25"/>
      <c r="VOJ25"/>
      <c r="VOK25"/>
      <c r="VOL25"/>
      <c r="VOM25"/>
      <c r="VON25"/>
      <c r="VOO25"/>
      <c r="VOP25"/>
      <c r="VOQ25"/>
      <c r="VOR25"/>
      <c r="VOS25"/>
      <c r="VOT25"/>
      <c r="VOU25"/>
      <c r="VOV25"/>
      <c r="VOW25"/>
      <c r="VOX25"/>
      <c r="VOY25"/>
      <c r="VOZ25"/>
      <c r="VPA25"/>
      <c r="VPB25"/>
      <c r="VPC25"/>
      <c r="VPD25"/>
      <c r="VPE25"/>
      <c r="VPF25"/>
      <c r="VPG25"/>
      <c r="VPH25"/>
      <c r="VPI25"/>
      <c r="VPJ25"/>
      <c r="VPK25"/>
      <c r="VPL25"/>
      <c r="VPM25"/>
      <c r="VPN25"/>
      <c r="VPO25"/>
      <c r="VPP25"/>
      <c r="VPQ25"/>
      <c r="VPR25"/>
      <c r="VPS25"/>
      <c r="VPT25"/>
      <c r="VPU25"/>
      <c r="VPV25"/>
      <c r="VPW25"/>
      <c r="VPX25"/>
      <c r="VPY25"/>
      <c r="VPZ25"/>
      <c r="VQA25"/>
      <c r="VQB25"/>
      <c r="VQC25"/>
      <c r="VQD25"/>
      <c r="VQE25"/>
      <c r="VQF25"/>
      <c r="VQG25"/>
      <c r="VQH25"/>
      <c r="VQI25"/>
      <c r="VQJ25"/>
      <c r="VQK25"/>
      <c r="VQL25"/>
      <c r="VQM25"/>
      <c r="VQN25"/>
      <c r="VQO25"/>
      <c r="VQP25"/>
      <c r="VQQ25"/>
      <c r="VQR25"/>
      <c r="VQS25"/>
      <c r="VQT25"/>
      <c r="VQU25"/>
      <c r="VQV25"/>
      <c r="VQW25"/>
      <c r="VQX25"/>
      <c r="VQY25"/>
      <c r="VQZ25"/>
      <c r="VRA25"/>
      <c r="VRB25"/>
      <c r="VRC25"/>
      <c r="VRD25"/>
      <c r="VRE25"/>
      <c r="VRF25"/>
      <c r="VRG25"/>
      <c r="VRH25"/>
      <c r="VRI25"/>
      <c r="VRJ25"/>
      <c r="VRK25"/>
      <c r="VRL25"/>
      <c r="VRM25"/>
      <c r="VRN25"/>
      <c r="VRO25"/>
      <c r="VRP25"/>
      <c r="VRQ25"/>
      <c r="VRR25"/>
      <c r="VRS25"/>
      <c r="VRT25"/>
      <c r="VRU25"/>
      <c r="VRV25"/>
      <c r="VRW25"/>
      <c r="VRX25"/>
      <c r="VRY25"/>
      <c r="VRZ25"/>
      <c r="VSA25"/>
      <c r="VSB25"/>
      <c r="VSC25"/>
      <c r="VSD25"/>
      <c r="VSE25"/>
      <c r="VSF25"/>
      <c r="VSG25"/>
      <c r="VSH25"/>
      <c r="VSI25"/>
      <c r="VSJ25"/>
      <c r="VSK25"/>
      <c r="VSL25"/>
      <c r="VSM25"/>
      <c r="VSN25"/>
      <c r="VSO25"/>
      <c r="VSP25"/>
      <c r="VSQ25"/>
      <c r="VSR25"/>
      <c r="VSS25"/>
      <c r="VST25"/>
      <c r="VSU25"/>
      <c r="VSV25"/>
      <c r="VSW25"/>
      <c r="VSX25"/>
      <c r="VSY25"/>
      <c r="VSZ25"/>
      <c r="VTA25"/>
      <c r="VTB25"/>
      <c r="VTC25"/>
      <c r="VTD25"/>
      <c r="VTE25"/>
      <c r="VTF25"/>
      <c r="VTG25"/>
      <c r="VTH25"/>
      <c r="VTI25"/>
      <c r="VTJ25"/>
      <c r="VTK25"/>
      <c r="VTL25"/>
      <c r="VTM25"/>
      <c r="VTN25"/>
      <c r="VTO25"/>
      <c r="VTP25"/>
      <c r="VTQ25"/>
      <c r="VTR25"/>
      <c r="VTS25"/>
      <c r="VTT25"/>
      <c r="VTU25"/>
      <c r="VTV25"/>
      <c r="VTW25"/>
      <c r="VTX25"/>
      <c r="VTY25"/>
      <c r="VTZ25"/>
      <c r="VUA25"/>
      <c r="VUB25"/>
      <c r="VUC25"/>
      <c r="VUD25"/>
      <c r="VUE25"/>
      <c r="VUF25"/>
      <c r="VUG25"/>
      <c r="VUH25"/>
      <c r="VUI25"/>
      <c r="VUJ25"/>
      <c r="VUK25"/>
      <c r="VUL25"/>
      <c r="VUM25"/>
      <c r="VUN25"/>
      <c r="VUO25"/>
      <c r="VUP25"/>
      <c r="VUQ25"/>
      <c r="VUR25"/>
      <c r="VUS25"/>
      <c r="VUT25"/>
      <c r="VUU25"/>
      <c r="VUV25"/>
      <c r="VUW25"/>
      <c r="VUX25"/>
      <c r="VUY25"/>
      <c r="VUZ25"/>
      <c r="VVA25"/>
      <c r="VVB25"/>
      <c r="VVC25"/>
      <c r="VVD25"/>
      <c r="VVE25"/>
      <c r="VVF25"/>
      <c r="VVG25"/>
      <c r="VVH25"/>
      <c r="VVI25"/>
      <c r="VVJ25"/>
      <c r="VVK25"/>
      <c r="VVL25"/>
      <c r="VVM25"/>
      <c r="VVN25"/>
      <c r="VVO25"/>
      <c r="VVP25"/>
      <c r="VVQ25"/>
      <c r="VVR25"/>
      <c r="VVS25"/>
      <c r="VVT25"/>
      <c r="VVU25"/>
      <c r="VVV25"/>
      <c r="VVW25"/>
      <c r="VVX25"/>
      <c r="VVY25"/>
      <c r="VVZ25"/>
      <c r="VWA25"/>
      <c r="VWB25"/>
      <c r="VWC25"/>
      <c r="VWD25"/>
      <c r="VWE25"/>
      <c r="VWF25"/>
      <c r="VWG25"/>
      <c r="VWH25"/>
      <c r="VWI25"/>
      <c r="VWJ25"/>
      <c r="VWK25"/>
      <c r="VWL25"/>
      <c r="VWM25"/>
      <c r="VWN25"/>
      <c r="VWO25"/>
      <c r="VWP25"/>
      <c r="VWQ25"/>
      <c r="VWR25"/>
      <c r="VWS25"/>
      <c r="VWT25"/>
      <c r="VWU25"/>
      <c r="VWV25"/>
      <c r="VWW25"/>
      <c r="VWX25"/>
      <c r="VWY25"/>
      <c r="VWZ25"/>
      <c r="VXA25"/>
      <c r="VXB25"/>
      <c r="VXC25"/>
      <c r="VXD25"/>
      <c r="VXE25"/>
      <c r="VXF25"/>
      <c r="VXG25"/>
      <c r="VXH25"/>
      <c r="VXI25"/>
      <c r="VXJ25"/>
      <c r="VXK25"/>
      <c r="VXL25"/>
      <c r="VXM25"/>
      <c r="VXN25"/>
      <c r="VXO25"/>
      <c r="VXP25"/>
      <c r="VXQ25"/>
      <c r="VXR25"/>
      <c r="VXS25"/>
      <c r="VXT25"/>
      <c r="VXU25"/>
      <c r="VXV25"/>
      <c r="VXW25"/>
      <c r="VXX25"/>
      <c r="VXY25"/>
      <c r="VXZ25"/>
      <c r="VYA25"/>
      <c r="VYB25"/>
      <c r="VYC25"/>
      <c r="VYD25"/>
      <c r="VYE25"/>
      <c r="VYF25"/>
      <c r="VYG25"/>
      <c r="VYH25"/>
      <c r="VYI25"/>
      <c r="VYJ25"/>
      <c r="VYK25"/>
      <c r="VYL25"/>
      <c r="VYM25"/>
      <c r="VYN25"/>
      <c r="VYO25"/>
      <c r="VYP25"/>
      <c r="VYQ25"/>
      <c r="VYR25"/>
      <c r="VYS25"/>
      <c r="VYT25"/>
      <c r="VYU25"/>
      <c r="VYV25"/>
      <c r="VYW25"/>
      <c r="VYX25"/>
      <c r="VYY25"/>
      <c r="VYZ25"/>
      <c r="VZA25"/>
      <c r="VZB25"/>
      <c r="VZC25"/>
      <c r="VZD25"/>
      <c r="VZE25"/>
      <c r="VZF25"/>
      <c r="VZG25"/>
      <c r="VZH25"/>
      <c r="VZI25"/>
      <c r="VZJ25"/>
      <c r="VZK25"/>
      <c r="VZL25"/>
      <c r="VZM25"/>
      <c r="VZN25"/>
      <c r="VZO25"/>
      <c r="VZP25"/>
      <c r="VZQ25"/>
      <c r="VZR25"/>
      <c r="VZS25"/>
      <c r="VZT25"/>
      <c r="VZU25"/>
      <c r="VZV25"/>
      <c r="VZW25"/>
      <c r="VZX25"/>
      <c r="VZY25"/>
      <c r="VZZ25"/>
      <c r="WAA25"/>
      <c r="WAB25"/>
      <c r="WAC25"/>
      <c r="WAD25"/>
      <c r="WAE25"/>
      <c r="WAF25"/>
      <c r="WAG25"/>
      <c r="WAH25"/>
      <c r="WAI25"/>
      <c r="WAJ25"/>
      <c r="WAK25"/>
      <c r="WAL25"/>
      <c r="WAM25"/>
      <c r="WAN25"/>
      <c r="WAO25"/>
      <c r="WAP25"/>
      <c r="WAQ25"/>
      <c r="WAR25"/>
      <c r="WAS25"/>
      <c r="WAT25"/>
      <c r="WAU25"/>
      <c r="WAV25"/>
      <c r="WAW25"/>
      <c r="WAX25"/>
      <c r="WAY25"/>
      <c r="WAZ25"/>
      <c r="WBA25"/>
      <c r="WBB25"/>
      <c r="WBC25"/>
      <c r="WBD25"/>
      <c r="WBE25"/>
      <c r="WBF25"/>
      <c r="WBG25"/>
      <c r="WBH25"/>
      <c r="WBI25"/>
      <c r="WBJ25"/>
      <c r="WBK25"/>
      <c r="WBL25"/>
      <c r="WBM25"/>
      <c r="WBN25"/>
      <c r="WBO25"/>
      <c r="WBP25"/>
      <c r="WBQ25"/>
      <c r="WBR25"/>
      <c r="WBS25"/>
      <c r="WBT25"/>
      <c r="WBU25"/>
      <c r="WBV25"/>
      <c r="WBW25"/>
      <c r="WBX25"/>
      <c r="WBY25"/>
      <c r="WBZ25"/>
      <c r="WCA25"/>
      <c r="WCB25"/>
      <c r="WCC25"/>
      <c r="WCD25"/>
      <c r="WCE25"/>
      <c r="WCF25"/>
      <c r="WCG25"/>
      <c r="WCH25"/>
      <c r="WCI25"/>
      <c r="WCJ25"/>
      <c r="WCK25"/>
      <c r="WCL25"/>
      <c r="WCM25"/>
      <c r="WCN25"/>
      <c r="WCO25"/>
      <c r="WCP25"/>
      <c r="WCQ25"/>
      <c r="WCR25"/>
      <c r="WCS25"/>
      <c r="WCT25"/>
      <c r="WCU25"/>
      <c r="WCV25"/>
      <c r="WCW25"/>
      <c r="WCX25"/>
      <c r="WCY25"/>
      <c r="WCZ25"/>
      <c r="WDA25"/>
      <c r="WDB25"/>
      <c r="WDC25"/>
      <c r="WDD25"/>
      <c r="WDE25"/>
      <c r="WDF25"/>
      <c r="WDG25"/>
      <c r="WDH25"/>
      <c r="WDI25"/>
      <c r="WDJ25"/>
      <c r="WDK25"/>
      <c r="WDL25"/>
      <c r="WDM25"/>
      <c r="WDN25"/>
      <c r="WDO25"/>
      <c r="WDP25"/>
      <c r="WDQ25"/>
      <c r="WDR25"/>
      <c r="WDS25"/>
      <c r="WDT25"/>
      <c r="WDU25"/>
      <c r="WDV25"/>
      <c r="WDW25"/>
      <c r="WDX25"/>
      <c r="WDY25"/>
      <c r="WDZ25"/>
      <c r="WEA25"/>
      <c r="WEB25"/>
      <c r="WEC25"/>
      <c r="WED25"/>
      <c r="WEE25"/>
      <c r="WEF25"/>
      <c r="WEG25"/>
      <c r="WEH25"/>
      <c r="WEI25"/>
      <c r="WEJ25"/>
      <c r="WEK25"/>
      <c r="WEL25"/>
      <c r="WEM25"/>
      <c r="WEN25"/>
      <c r="WEO25"/>
      <c r="WEP25"/>
      <c r="WEQ25"/>
      <c r="WER25"/>
      <c r="WES25"/>
      <c r="WET25"/>
      <c r="WEU25"/>
      <c r="WEV25"/>
      <c r="WEW25"/>
      <c r="WEX25"/>
      <c r="WEY25"/>
      <c r="WEZ25"/>
      <c r="WFA25"/>
      <c r="WFB25"/>
      <c r="WFC25"/>
      <c r="WFD25"/>
      <c r="WFE25"/>
      <c r="WFF25"/>
      <c r="WFG25"/>
      <c r="WFH25"/>
      <c r="WFI25"/>
      <c r="WFJ25"/>
      <c r="WFK25"/>
      <c r="WFL25"/>
      <c r="WFM25"/>
      <c r="WFN25"/>
      <c r="WFO25"/>
      <c r="WFP25"/>
      <c r="WFQ25"/>
      <c r="WFR25"/>
      <c r="WFS25"/>
      <c r="WFT25"/>
      <c r="WFU25"/>
      <c r="WFV25"/>
      <c r="WFW25"/>
      <c r="WFX25"/>
      <c r="WFY25"/>
      <c r="WFZ25"/>
      <c r="WGA25"/>
      <c r="WGB25"/>
      <c r="WGC25"/>
      <c r="WGD25"/>
      <c r="WGE25"/>
      <c r="WGF25"/>
      <c r="WGG25"/>
      <c r="WGH25"/>
      <c r="WGI25"/>
      <c r="WGJ25"/>
      <c r="WGK25"/>
      <c r="WGL25"/>
      <c r="WGM25"/>
      <c r="WGN25"/>
      <c r="WGO25"/>
      <c r="WGP25"/>
      <c r="WGQ25"/>
      <c r="WGR25"/>
      <c r="WGS25"/>
      <c r="WGT25"/>
      <c r="WGU25"/>
      <c r="WGV25"/>
      <c r="WGW25"/>
      <c r="WGX25"/>
      <c r="WGY25"/>
      <c r="WGZ25"/>
      <c r="WHA25"/>
      <c r="WHB25"/>
      <c r="WHC25"/>
      <c r="WHD25"/>
      <c r="WHE25"/>
      <c r="WHF25"/>
      <c r="WHG25"/>
      <c r="WHH25"/>
      <c r="WHI25"/>
      <c r="WHJ25"/>
      <c r="WHK25"/>
      <c r="WHL25"/>
      <c r="WHM25"/>
      <c r="WHN25"/>
      <c r="WHO25"/>
      <c r="WHP25"/>
      <c r="WHQ25"/>
      <c r="WHR25"/>
      <c r="WHS25"/>
      <c r="WHT25"/>
      <c r="WHU25"/>
      <c r="WHV25"/>
      <c r="WHW25"/>
      <c r="WHX25"/>
      <c r="WHY25"/>
      <c r="WHZ25"/>
      <c r="WIA25"/>
      <c r="WIB25"/>
      <c r="WIC25"/>
      <c r="WID25"/>
      <c r="WIE25"/>
      <c r="WIF25"/>
      <c r="WIG25"/>
      <c r="WIH25"/>
      <c r="WII25"/>
      <c r="WIJ25"/>
      <c r="WIK25"/>
      <c r="WIL25"/>
      <c r="WIM25"/>
      <c r="WIN25"/>
      <c r="WIO25"/>
      <c r="WIP25"/>
      <c r="WIQ25"/>
      <c r="WIR25"/>
      <c r="WIS25"/>
      <c r="WIT25"/>
      <c r="WIU25"/>
      <c r="WIV25"/>
      <c r="WIW25"/>
      <c r="WIX25"/>
      <c r="WIY25"/>
      <c r="WIZ25"/>
      <c r="WJA25"/>
      <c r="WJB25"/>
      <c r="WJC25"/>
      <c r="WJD25"/>
      <c r="WJE25"/>
      <c r="WJF25"/>
      <c r="WJG25"/>
      <c r="WJH25"/>
      <c r="WJI25"/>
      <c r="WJJ25"/>
      <c r="WJK25"/>
      <c r="WJL25"/>
      <c r="WJM25"/>
      <c r="WJN25"/>
      <c r="WJO25"/>
      <c r="WJP25"/>
      <c r="WJQ25"/>
      <c r="WJR25"/>
      <c r="WJS25"/>
      <c r="WJT25"/>
      <c r="WJU25"/>
      <c r="WJV25"/>
      <c r="WJW25"/>
      <c r="WJX25"/>
      <c r="WJY25"/>
      <c r="WJZ25"/>
      <c r="WKA25"/>
      <c r="WKB25"/>
      <c r="WKC25"/>
      <c r="WKD25"/>
      <c r="WKE25"/>
      <c r="WKF25"/>
      <c r="WKG25"/>
      <c r="WKH25"/>
      <c r="WKI25"/>
      <c r="WKJ25"/>
      <c r="WKK25"/>
      <c r="WKL25"/>
      <c r="WKM25"/>
      <c r="WKN25"/>
      <c r="WKO25"/>
      <c r="WKP25"/>
      <c r="WKQ25"/>
      <c r="WKR25"/>
      <c r="WKS25"/>
      <c r="WKT25"/>
      <c r="WKU25"/>
      <c r="WKV25"/>
      <c r="WKW25"/>
      <c r="WKX25"/>
      <c r="WKY25"/>
      <c r="WKZ25"/>
      <c r="WLA25"/>
      <c r="WLB25"/>
      <c r="WLC25"/>
      <c r="WLD25"/>
      <c r="WLE25"/>
      <c r="WLF25"/>
      <c r="WLG25"/>
      <c r="WLH25"/>
      <c r="WLI25"/>
      <c r="WLJ25"/>
      <c r="WLK25"/>
      <c r="WLL25"/>
      <c r="WLM25"/>
      <c r="WLN25"/>
      <c r="WLO25"/>
      <c r="WLP25"/>
      <c r="WLQ25"/>
      <c r="WLR25"/>
      <c r="WLS25"/>
      <c r="WLT25"/>
      <c r="WLU25"/>
      <c r="WLV25"/>
      <c r="WLW25"/>
      <c r="WLX25"/>
      <c r="WLY25"/>
      <c r="WLZ25"/>
      <c r="WMA25"/>
      <c r="WMB25"/>
      <c r="WMC25"/>
      <c r="WMD25"/>
      <c r="WME25"/>
      <c r="WMF25"/>
      <c r="WMG25"/>
      <c r="WMH25"/>
      <c r="WMI25"/>
      <c r="WMJ25"/>
      <c r="WMK25"/>
      <c r="WML25"/>
      <c r="WMM25"/>
      <c r="WMN25"/>
      <c r="WMO25"/>
      <c r="WMP25"/>
      <c r="WMQ25"/>
      <c r="WMR25"/>
      <c r="WMS25"/>
      <c r="WMT25"/>
      <c r="WMU25"/>
      <c r="WMV25"/>
      <c r="WMW25"/>
      <c r="WMX25"/>
      <c r="WMY25"/>
      <c r="WMZ25"/>
      <c r="WNA25"/>
      <c r="WNB25"/>
      <c r="WNC25"/>
      <c r="WND25"/>
      <c r="WNE25"/>
      <c r="WNF25"/>
      <c r="WNG25"/>
      <c r="WNH25"/>
      <c r="WNI25"/>
      <c r="WNJ25"/>
      <c r="WNK25"/>
      <c r="WNL25"/>
      <c r="WNM25"/>
      <c r="WNN25"/>
      <c r="WNO25"/>
      <c r="WNP25"/>
      <c r="WNQ25"/>
      <c r="WNR25"/>
      <c r="WNS25"/>
      <c r="WNT25"/>
      <c r="WNU25"/>
      <c r="WNV25"/>
      <c r="WNW25"/>
      <c r="WNX25"/>
      <c r="WNY25"/>
      <c r="WNZ25"/>
      <c r="WOA25"/>
      <c r="WOB25"/>
      <c r="WOC25"/>
      <c r="WOD25"/>
      <c r="WOE25"/>
      <c r="WOF25"/>
      <c r="WOG25"/>
      <c r="WOH25"/>
      <c r="WOI25"/>
      <c r="WOJ25"/>
      <c r="WOK25"/>
      <c r="WOL25"/>
      <c r="WOM25"/>
      <c r="WON25"/>
      <c r="WOO25"/>
      <c r="WOP25"/>
      <c r="WOQ25"/>
      <c r="WOR25"/>
      <c r="WOS25"/>
      <c r="WOT25"/>
      <c r="WOU25"/>
      <c r="WOV25"/>
      <c r="WOW25"/>
      <c r="WOX25"/>
      <c r="WOY25"/>
      <c r="WOZ25"/>
      <c r="WPA25"/>
      <c r="WPB25"/>
      <c r="WPC25"/>
      <c r="WPD25"/>
      <c r="WPE25"/>
      <c r="WPF25"/>
      <c r="WPG25"/>
      <c r="WPH25"/>
      <c r="WPI25"/>
      <c r="WPJ25"/>
      <c r="WPK25"/>
      <c r="WPL25"/>
      <c r="WPM25"/>
      <c r="WPN25"/>
      <c r="WPO25"/>
      <c r="WPP25"/>
      <c r="WPQ25"/>
      <c r="WPR25"/>
      <c r="WPS25"/>
      <c r="WPT25"/>
      <c r="WPU25"/>
      <c r="WPV25"/>
      <c r="WPW25"/>
      <c r="WPX25"/>
      <c r="WPY25"/>
      <c r="WPZ25"/>
      <c r="WQA25"/>
      <c r="WQB25"/>
      <c r="WQC25"/>
      <c r="WQD25"/>
      <c r="WQE25"/>
      <c r="WQF25"/>
      <c r="WQG25"/>
      <c r="WQH25"/>
      <c r="WQI25"/>
      <c r="WQJ25"/>
      <c r="WQK25"/>
      <c r="WQL25"/>
      <c r="WQM25"/>
      <c r="WQN25"/>
      <c r="WQO25"/>
      <c r="WQP25"/>
      <c r="WQQ25"/>
      <c r="WQR25"/>
      <c r="WQS25"/>
      <c r="WQT25"/>
      <c r="WQU25"/>
      <c r="WQV25"/>
      <c r="WQW25"/>
      <c r="WQX25"/>
      <c r="WQY25"/>
      <c r="WQZ25"/>
      <c r="WRA25"/>
      <c r="WRB25"/>
      <c r="WRC25"/>
      <c r="WRD25"/>
      <c r="WRE25"/>
      <c r="WRF25"/>
      <c r="WRG25"/>
      <c r="WRH25"/>
      <c r="WRI25"/>
      <c r="WRJ25"/>
      <c r="WRK25"/>
      <c r="WRL25"/>
      <c r="WRM25"/>
      <c r="WRN25"/>
      <c r="WRO25"/>
      <c r="WRP25"/>
      <c r="WRQ25"/>
      <c r="WRR25"/>
      <c r="WRS25"/>
      <c r="WRT25"/>
      <c r="WRU25"/>
      <c r="WRV25"/>
      <c r="WRW25"/>
      <c r="WRX25"/>
      <c r="WRY25"/>
      <c r="WRZ25"/>
      <c r="WSA25"/>
      <c r="WSB25"/>
      <c r="WSC25"/>
      <c r="WSD25"/>
      <c r="WSE25"/>
      <c r="WSF25"/>
      <c r="WSG25"/>
      <c r="WSH25"/>
      <c r="WSI25"/>
      <c r="WSJ25"/>
      <c r="WSK25"/>
      <c r="WSL25"/>
      <c r="WSM25"/>
      <c r="WSN25"/>
      <c r="WSO25"/>
      <c r="WSP25"/>
      <c r="WSQ25"/>
      <c r="WSR25"/>
      <c r="WSS25"/>
      <c r="WST25"/>
      <c r="WSU25"/>
      <c r="WSV25"/>
      <c r="WSW25"/>
      <c r="WSX25"/>
      <c r="WSY25"/>
      <c r="WSZ25"/>
      <c r="WTA25"/>
      <c r="WTB25"/>
      <c r="WTC25"/>
      <c r="WTD25"/>
      <c r="WTE25"/>
      <c r="WTF25"/>
      <c r="WTG25"/>
      <c r="WTH25"/>
      <c r="WTI25"/>
      <c r="WTJ25"/>
      <c r="WTK25"/>
      <c r="WTL25"/>
      <c r="WTM25"/>
      <c r="WTN25"/>
      <c r="WTO25"/>
      <c r="WTP25"/>
      <c r="WTQ25"/>
      <c r="WTR25"/>
      <c r="WTS25"/>
      <c r="WTT25"/>
      <c r="WTU25"/>
      <c r="WTV25"/>
      <c r="WTW25"/>
      <c r="WTX25"/>
      <c r="WTY25"/>
      <c r="WTZ25"/>
      <c r="WUA25"/>
      <c r="WUB25"/>
      <c r="WUC25"/>
      <c r="WUD25"/>
      <c r="WUE25"/>
      <c r="WUF25"/>
      <c r="WUG25"/>
      <c r="WUH25"/>
      <c r="WUI25"/>
      <c r="WUJ25"/>
      <c r="WUK25"/>
      <c r="WUL25"/>
      <c r="WUM25"/>
      <c r="WUN25"/>
      <c r="WUO25"/>
      <c r="WUP25"/>
      <c r="WUQ25"/>
      <c r="WUR25"/>
      <c r="WUS25"/>
      <c r="WUT25"/>
      <c r="WUU25"/>
      <c r="WUV25"/>
      <c r="WUW25"/>
      <c r="WUX25"/>
      <c r="WUY25"/>
      <c r="WUZ25"/>
      <c r="WVA25"/>
      <c r="WVB25"/>
      <c r="WVC25"/>
      <c r="WVD25"/>
      <c r="WVE25"/>
      <c r="WVF25"/>
      <c r="WVG25"/>
      <c r="WVH25"/>
      <c r="WVI25"/>
      <c r="WVJ25"/>
      <c r="WVK25"/>
      <c r="WVL25"/>
      <c r="WVM25"/>
      <c r="WVN25"/>
      <c r="WVO25"/>
      <c r="WVP25"/>
      <c r="WVQ25"/>
      <c r="WVR25"/>
      <c r="WVS25"/>
      <c r="WVT25"/>
      <c r="WVU25"/>
      <c r="WVV25"/>
      <c r="WVW25"/>
      <c r="WVX25"/>
      <c r="WVY25"/>
      <c r="WVZ25"/>
      <c r="WWA25"/>
      <c r="WWB25"/>
      <c r="WWC25"/>
      <c r="WWD25"/>
      <c r="WWE25"/>
      <c r="WWF25"/>
      <c r="WWG25"/>
      <c r="WWH25"/>
      <c r="WWI25"/>
      <c r="WWJ25"/>
      <c r="WWK25"/>
      <c r="WWL25"/>
      <c r="WWM25"/>
      <c r="WWN25"/>
      <c r="WWO25"/>
      <c r="WWP25"/>
      <c r="WWQ25"/>
      <c r="WWR25"/>
      <c r="WWS25"/>
      <c r="WWT25"/>
      <c r="WWU25"/>
      <c r="WWV25"/>
      <c r="WWW25"/>
      <c r="WWX25"/>
      <c r="WWY25"/>
      <c r="WWZ25"/>
      <c r="WXA25"/>
      <c r="WXB25"/>
      <c r="WXC25"/>
      <c r="WXD25"/>
      <c r="WXE25"/>
      <c r="WXF25"/>
      <c r="WXG25"/>
      <c r="WXH25"/>
      <c r="WXI25"/>
      <c r="WXJ25"/>
      <c r="WXK25"/>
      <c r="WXL25"/>
      <c r="WXM25"/>
      <c r="WXN25"/>
      <c r="WXO25"/>
      <c r="WXP25"/>
      <c r="WXQ25"/>
      <c r="WXR25"/>
      <c r="WXS25"/>
      <c r="WXT25"/>
      <c r="WXU25"/>
      <c r="WXV25"/>
      <c r="WXW25"/>
      <c r="WXX25"/>
      <c r="WXY25"/>
      <c r="WXZ25"/>
      <c r="WYA25"/>
      <c r="WYB25"/>
      <c r="WYC25"/>
      <c r="WYD25"/>
      <c r="WYE25"/>
      <c r="WYF25"/>
      <c r="WYG25"/>
      <c r="WYH25"/>
      <c r="WYI25"/>
      <c r="WYJ25"/>
      <c r="WYK25"/>
      <c r="WYL25"/>
      <c r="WYM25"/>
      <c r="WYN25"/>
      <c r="WYO25"/>
      <c r="WYP25"/>
      <c r="WYQ25"/>
      <c r="WYR25"/>
      <c r="WYS25"/>
      <c r="WYT25"/>
      <c r="WYU25"/>
      <c r="WYV25"/>
      <c r="WYW25"/>
      <c r="WYX25"/>
      <c r="WYY25"/>
      <c r="WYZ25"/>
      <c r="WZA25"/>
      <c r="WZB25"/>
      <c r="WZC25"/>
      <c r="WZD25"/>
      <c r="WZE25"/>
      <c r="WZF25"/>
      <c r="WZG25"/>
      <c r="WZH25"/>
      <c r="WZI25"/>
      <c r="WZJ25"/>
      <c r="WZK25"/>
      <c r="WZL25"/>
      <c r="WZM25"/>
      <c r="WZN25"/>
      <c r="WZO25"/>
      <c r="WZP25"/>
      <c r="WZQ25"/>
      <c r="WZR25"/>
      <c r="WZS25"/>
      <c r="WZT25"/>
      <c r="WZU25"/>
      <c r="WZV25"/>
      <c r="WZW25"/>
      <c r="WZX25"/>
      <c r="WZY25"/>
      <c r="WZZ25"/>
      <c r="XAA25"/>
      <c r="XAB25"/>
      <c r="XAC25"/>
      <c r="XAD25"/>
      <c r="XAE25"/>
      <c r="XAF25"/>
      <c r="XAG25"/>
      <c r="XAH25"/>
      <c r="XAI25"/>
      <c r="XAJ25"/>
      <c r="XAK25"/>
      <c r="XAL25"/>
      <c r="XAM25"/>
      <c r="XAN25"/>
      <c r="XAO25"/>
      <c r="XAP25"/>
      <c r="XAQ25"/>
      <c r="XAR25"/>
      <c r="XAS25"/>
      <c r="XAT25"/>
      <c r="XAU25"/>
      <c r="XAV25"/>
      <c r="XAW25"/>
      <c r="XAX25"/>
      <c r="XAY25"/>
      <c r="XAZ25"/>
      <c r="XBA25"/>
      <c r="XBB25"/>
      <c r="XBC25"/>
      <c r="XBD25"/>
      <c r="XBE25"/>
      <c r="XBF25"/>
      <c r="XBG25"/>
      <c r="XBH25"/>
      <c r="XBI25"/>
      <c r="XBJ25"/>
      <c r="XBK25"/>
      <c r="XBL25"/>
      <c r="XBM25"/>
      <c r="XBN25"/>
      <c r="XBO25"/>
      <c r="XBP25"/>
      <c r="XBQ25"/>
      <c r="XBR25"/>
      <c r="XBS25"/>
      <c r="XBT25"/>
      <c r="XBU25"/>
      <c r="XBV25"/>
      <c r="XBW25"/>
      <c r="XBX25"/>
      <c r="XBY25"/>
      <c r="XBZ25"/>
      <c r="XCA25"/>
      <c r="XCB25"/>
      <c r="XCC25"/>
      <c r="XCD25"/>
      <c r="XCE25"/>
      <c r="XCF25"/>
      <c r="XCG25"/>
      <c r="XCH25"/>
      <c r="XCI25"/>
      <c r="XCJ25"/>
      <c r="XCK25"/>
      <c r="XCL25"/>
      <c r="XCM25"/>
      <c r="XCN25"/>
      <c r="XCO25"/>
      <c r="XCP25"/>
      <c r="XCQ25"/>
      <c r="XCR25"/>
      <c r="XCS25"/>
      <c r="XCT25"/>
      <c r="XCU25"/>
      <c r="XCV25"/>
      <c r="XCW25"/>
      <c r="XCX25"/>
      <c r="XCY25"/>
      <c r="XCZ25"/>
      <c r="XDA25"/>
      <c r="XDB25"/>
      <c r="XDC25"/>
      <c r="XDD25"/>
      <c r="XDE25"/>
      <c r="XDF25"/>
      <c r="XDG25"/>
      <c r="XDH25"/>
      <c r="XDI25"/>
      <c r="XDJ25"/>
      <c r="XDK25"/>
      <c r="XDL25"/>
      <c r="XDM25"/>
      <c r="XDN25"/>
      <c r="XDO25"/>
      <c r="XDP25"/>
      <c r="XDQ25"/>
      <c r="XDR25"/>
      <c r="XDS25"/>
      <c r="XDT25"/>
      <c r="XDU25"/>
      <c r="XDV25"/>
      <c r="XDW25"/>
      <c r="XDX25"/>
      <c r="XDY25"/>
      <c r="XDZ25"/>
      <c r="XEA25"/>
      <c r="XEB25"/>
      <c r="XEC25"/>
      <c r="XED25"/>
      <c r="XEE25"/>
      <c r="XEF25"/>
      <c r="XEG25"/>
      <c r="XEH25"/>
      <c r="XEI25"/>
      <c r="XEJ25"/>
      <c r="XEK25"/>
      <c r="XEL25"/>
      <c r="XEM25"/>
      <c r="XEN25"/>
      <c r="XEO25"/>
      <c r="XEP25"/>
      <c r="XEQ25"/>
      <c r="XER25"/>
      <c r="XES25"/>
      <c r="XET25"/>
      <c r="XEU25"/>
      <c r="XEV25"/>
      <c r="XEW25"/>
      <c r="XEX25"/>
      <c r="XEY25"/>
      <c r="XEZ25"/>
      <c r="XFA25"/>
      <c r="XFB25"/>
      <c r="XFC25"/>
      <c r="XFD25"/>
    </row>
    <row r="26" spans="1:16384" s="39" customFormat="1" ht="45">
      <c r="A26" s="209" t="s">
        <v>372</v>
      </c>
      <c r="B26" s="549" t="str">
        <f>IF(HP_1!G63=HP_1!$Q$2,HP_1!$W$2,HP_1!$W$3&amp;" or "&amp;HP_1!$W$4)</f>
        <v>Electricity</v>
      </c>
      <c r="C26" s="548"/>
      <c r="D26" s="548"/>
      <c r="E26" s="213"/>
      <c r="F26" s="206" t="s">
        <v>625</v>
      </c>
      <c r="H26" s="35"/>
      <c r="I26" s="43"/>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pans="1:16384" s="39" customFormat="1" ht="46.9" customHeight="1">
      <c r="A27" s="209" t="s">
        <v>617</v>
      </c>
      <c r="B27" s="562">
        <v>1</v>
      </c>
      <c r="C27" s="548"/>
      <c r="D27" s="548"/>
      <c r="E27" s="213"/>
      <c r="F27" s="206" t="s">
        <v>618</v>
      </c>
      <c r="H27" s="35"/>
      <c r="I27" s="43"/>
    </row>
    <row r="28" spans="1:16384" ht="60">
      <c r="A28" s="209" t="s">
        <v>460</v>
      </c>
      <c r="B28" s="551" t="str">
        <f>IF($I$19,I16,"n/a for individual system")</f>
        <v>n/a for individual system</v>
      </c>
      <c r="C28" s="548"/>
      <c r="D28" s="548"/>
      <c r="E28" s="213" t="s">
        <v>45</v>
      </c>
      <c r="F28" s="206" t="s">
        <v>605</v>
      </c>
    </row>
    <row r="29" spans="1:16384" ht="60">
      <c r="A29" s="552" t="s">
        <v>459</v>
      </c>
      <c r="B29" s="551" t="str">
        <f>IF($I$19,I17,"n/a for individual system")</f>
        <v>n/a for individual system</v>
      </c>
      <c r="C29" s="548"/>
      <c r="D29" s="548"/>
      <c r="E29" s="213" t="s">
        <v>45</v>
      </c>
      <c r="F29" s="206" t="s">
        <v>606</v>
      </c>
    </row>
    <row r="30" spans="1:16384" s="39" customFormat="1" ht="87.6" customHeight="1">
      <c r="A30" s="553" t="s">
        <v>540</v>
      </c>
      <c r="B30" s="554" t="str">
        <f>B59</f>
        <v/>
      </c>
      <c r="C30" s="554" t="str">
        <f>C59</f>
        <v/>
      </c>
      <c r="D30" s="554" t="str">
        <f>D59</f>
        <v/>
      </c>
      <c r="F30" s="206" t="s">
        <v>627</v>
      </c>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c r="XEW30"/>
      <c r="XEX30"/>
      <c r="XEY30"/>
      <c r="XEZ30"/>
      <c r="XFA30"/>
      <c r="XFB30"/>
      <c r="XFC30"/>
      <c r="XFD30"/>
    </row>
    <row r="31" spans="1:16384" ht="119.45" customHeight="1">
      <c r="A31" s="553" t="s">
        <v>540</v>
      </c>
      <c r="B31" s="554" t="e">
        <f>B60&amp;B61</f>
        <v>#VALUE!</v>
      </c>
      <c r="C31" s="554" t="str">
        <f>C60&amp;C61</f>
        <v/>
      </c>
      <c r="D31" s="554" t="str">
        <f>D60&amp;D61</f>
        <v/>
      </c>
      <c r="F31" s="206" t="s">
        <v>628</v>
      </c>
    </row>
    <row r="32" spans="1:16384" ht="42.6" customHeight="1">
      <c r="A32" s="553" t="s">
        <v>540</v>
      </c>
      <c r="B32" s="732" t="str">
        <f ca="1">IF(E56&gt;1,"Error: No more than one heat pump can use water heating test data with test standard option I.S. EN 14825/14511","")</f>
        <v/>
      </c>
      <c r="C32" s="732"/>
      <c r="D32" s="732"/>
      <c r="F32" s="206" t="s">
        <v>542</v>
      </c>
    </row>
    <row r="33" spans="1:16384" ht="28.9" customHeight="1">
      <c r="A33" s="553" t="s">
        <v>540</v>
      </c>
      <c r="B33" s="732" t="str">
        <f ca="1">IF(E64&gt;0,"Error: System using GAHP and electric heat pumps. System must use either all electric heat pumps or all GAHP.","")</f>
        <v/>
      </c>
      <c r="C33" s="732"/>
      <c r="D33" s="732"/>
      <c r="F33" s="206" t="s">
        <v>597</v>
      </c>
    </row>
    <row r="34" spans="1:16384" ht="28.15" customHeight="1" thickBot="1">
      <c r="A34" s="553" t="s">
        <v>540</v>
      </c>
      <c r="B34" s="732" t="str">
        <f ca="1">IF(AND(B65,B66),"Error: I.S. EN 14825/14511 based test data used as the sole means of meeting 100% of main water heating. Needs to be accompanied by another heat pump using water heating standards.","")</f>
        <v/>
      </c>
      <c r="C34" s="732"/>
      <c r="D34" s="732"/>
      <c r="F34" s="206" t="s">
        <v>621</v>
      </c>
    </row>
    <row r="35" spans="1:16384" s="137" customFormat="1" ht="51.6" customHeight="1" thickBot="1">
      <c r="A35" s="729" t="s">
        <v>610</v>
      </c>
      <c r="B35" s="730"/>
      <c r="C35" s="730"/>
      <c r="D35" s="730"/>
      <c r="E35" s="730"/>
      <c r="F35" s="731"/>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E35" s="39"/>
      <c r="EF35" s="39"/>
      <c r="EG35" s="39"/>
      <c r="EH35" s="39"/>
      <c r="EI35" s="39"/>
      <c r="EJ35" s="39"/>
      <c r="EK35" s="39"/>
      <c r="EL35" s="39"/>
      <c r="EM35" s="39"/>
      <c r="EN35" s="39"/>
      <c r="EO35" s="39"/>
      <c r="EP35" s="39"/>
      <c r="EQ35" s="39"/>
      <c r="ER35" s="39"/>
      <c r="ES35" s="39"/>
      <c r="ET35" s="39"/>
      <c r="EU35" s="39"/>
      <c r="EV35" s="39"/>
      <c r="EW35" s="39"/>
      <c r="EX35" s="39"/>
      <c r="EY35" s="39"/>
      <c r="EZ35" s="39"/>
      <c r="FA35" s="39"/>
      <c r="FB35" s="39"/>
      <c r="FC35" s="39"/>
      <c r="FD35" s="39"/>
      <c r="FE35" s="39"/>
      <c r="FF35" s="39"/>
      <c r="FG35" s="39"/>
      <c r="FH35" s="39"/>
      <c r="FI35" s="39"/>
      <c r="FJ35" s="39"/>
      <c r="FK35" s="39"/>
      <c r="FL35" s="39"/>
      <c r="FM35" s="39"/>
      <c r="FN35" s="39"/>
      <c r="FO35" s="39"/>
      <c r="FP35" s="39"/>
      <c r="FQ35" s="39"/>
      <c r="FR35" s="39"/>
      <c r="FS35" s="39"/>
      <c r="FT35" s="39"/>
      <c r="FU35" s="39"/>
      <c r="FV35" s="39"/>
      <c r="FW35" s="39"/>
      <c r="FX35" s="39"/>
      <c r="FY35" s="39"/>
      <c r="FZ35" s="39"/>
      <c r="GA35" s="39"/>
      <c r="GB35" s="39"/>
      <c r="GC35" s="39"/>
      <c r="GD35" s="39"/>
      <c r="GE35" s="39"/>
      <c r="GF35" s="39"/>
      <c r="GG35" s="39"/>
      <c r="GH35" s="39"/>
      <c r="GI35" s="39"/>
      <c r="GJ35" s="39"/>
      <c r="GK35" s="39"/>
      <c r="GL35" s="39"/>
      <c r="GM35" s="39"/>
      <c r="GN35" s="39"/>
      <c r="GO35" s="39"/>
      <c r="GP35" s="39"/>
      <c r="GQ35" s="39"/>
      <c r="GR35" s="39"/>
      <c r="GS35" s="39"/>
      <c r="GT35" s="39"/>
      <c r="GU35" s="39"/>
      <c r="GV35" s="39"/>
      <c r="GW35" s="39"/>
      <c r="GX35" s="39"/>
      <c r="GY35" s="39"/>
      <c r="GZ35" s="39"/>
      <c r="HA35" s="39"/>
      <c r="HB35" s="39"/>
      <c r="HC35" s="39"/>
      <c r="HD35" s="39"/>
      <c r="HE35" s="39"/>
      <c r="HF35" s="39"/>
      <c r="HG35" s="39"/>
      <c r="HH35" s="39"/>
      <c r="HI35" s="39"/>
      <c r="HJ35" s="39"/>
      <c r="HK35" s="39"/>
      <c r="HL35" s="39"/>
      <c r="HM35" s="39"/>
      <c r="HN35" s="39"/>
      <c r="HO35" s="39"/>
      <c r="HP35" s="39"/>
      <c r="HQ35" s="39"/>
      <c r="HR35" s="39"/>
      <c r="HS35" s="39"/>
      <c r="HT35" s="39"/>
      <c r="HU35" s="39"/>
      <c r="HV35" s="39"/>
      <c r="HW35" s="39"/>
      <c r="HX35" s="39"/>
      <c r="HY35" s="39"/>
      <c r="HZ35" s="39"/>
      <c r="IA35" s="39"/>
      <c r="IB35" s="39"/>
      <c r="IC35" s="39"/>
      <c r="ID35" s="39"/>
      <c r="IE35" s="39"/>
      <c r="IF35" s="39"/>
      <c r="IG35" s="39"/>
      <c r="IH35" s="39"/>
      <c r="II35" s="39"/>
      <c r="IJ35" s="39"/>
      <c r="IK35" s="39"/>
      <c r="IL35" s="39"/>
      <c r="IM35" s="39"/>
      <c r="IN35" s="39"/>
      <c r="IO35" s="39"/>
      <c r="IP35" s="39"/>
      <c r="IQ35" s="39"/>
      <c r="IR35" s="39"/>
      <c r="IS35" s="39"/>
      <c r="IT35" s="39"/>
      <c r="IU35" s="39"/>
      <c r="IV35" s="39"/>
      <c r="IW35" s="39"/>
      <c r="IX35" s="39"/>
      <c r="IY35" s="39"/>
      <c r="IZ35" s="39"/>
      <c r="JA35" s="39"/>
      <c r="JB35" s="39"/>
      <c r="JC35" s="39"/>
      <c r="JD35" s="39"/>
      <c r="JE35" s="39"/>
      <c r="JF35" s="39"/>
      <c r="JG35" s="39"/>
      <c r="JH35" s="39"/>
      <c r="JI35" s="39"/>
      <c r="JJ35" s="39"/>
      <c r="JK35" s="39"/>
      <c r="JL35" s="39"/>
      <c r="JM35" s="39"/>
      <c r="JN35" s="39"/>
      <c r="JO35" s="39"/>
      <c r="JP35" s="39"/>
      <c r="JQ35" s="39"/>
      <c r="JR35" s="39"/>
      <c r="JS35" s="39"/>
      <c r="JT35" s="39"/>
      <c r="JU35" s="39"/>
      <c r="JV35" s="39"/>
      <c r="JW35" s="39"/>
      <c r="JX35" s="39"/>
      <c r="JY35" s="39"/>
      <c r="JZ35" s="39"/>
      <c r="KA35" s="39"/>
      <c r="KB35" s="39"/>
      <c r="KC35" s="39"/>
      <c r="KD35" s="39"/>
      <c r="KE35" s="39"/>
      <c r="KF35" s="39"/>
      <c r="KG35" s="39"/>
      <c r="KH35" s="39"/>
      <c r="KI35" s="39"/>
      <c r="KJ35" s="39"/>
      <c r="KK35" s="39"/>
      <c r="KL35" s="39"/>
      <c r="KM35" s="39"/>
      <c r="KN35" s="39"/>
      <c r="KO35" s="39"/>
      <c r="KP35" s="39"/>
      <c r="KQ35" s="39"/>
      <c r="KR35" s="39"/>
      <c r="KS35" s="39"/>
      <c r="KT35" s="39"/>
      <c r="KU35" s="39"/>
      <c r="KV35" s="39"/>
      <c r="KW35" s="39"/>
      <c r="KX35" s="39"/>
      <c r="KY35" s="39"/>
      <c r="KZ35" s="39"/>
      <c r="LA35" s="39"/>
      <c r="LB35" s="39"/>
      <c r="LC35" s="39"/>
      <c r="LD35" s="39"/>
      <c r="LE35" s="39"/>
      <c r="LF35" s="39"/>
      <c r="LG35" s="39"/>
      <c r="LH35" s="39"/>
      <c r="LI35" s="39"/>
      <c r="LJ35" s="39"/>
      <c r="LK35" s="39"/>
      <c r="LL35" s="39"/>
      <c r="LM35" s="39"/>
      <c r="LN35" s="39"/>
      <c r="LO35" s="39"/>
      <c r="LP35" s="39"/>
      <c r="LQ35" s="39"/>
      <c r="LR35" s="39"/>
      <c r="LS35" s="39"/>
      <c r="LT35" s="39"/>
      <c r="LU35" s="39"/>
      <c r="LV35" s="39"/>
      <c r="LW35" s="39"/>
      <c r="LX35" s="39"/>
      <c r="LY35" s="39"/>
      <c r="LZ35" s="39"/>
      <c r="MA35" s="39"/>
      <c r="MB35" s="39"/>
      <c r="MC35" s="39"/>
      <c r="MD35" s="39"/>
      <c r="ME35" s="39"/>
      <c r="MF35" s="39"/>
      <c r="MG35" s="39"/>
      <c r="MH35" s="39"/>
      <c r="MI35" s="39"/>
      <c r="MJ35" s="39"/>
      <c r="MK35" s="39"/>
      <c r="ML35" s="39"/>
      <c r="MM35" s="39"/>
      <c r="MN35" s="39"/>
      <c r="MO35" s="39"/>
      <c r="MP35" s="39"/>
      <c r="MQ35" s="39"/>
      <c r="MR35" s="39"/>
      <c r="MS35" s="39"/>
      <c r="MT35" s="39"/>
      <c r="MU35" s="39"/>
      <c r="MV35" s="39"/>
      <c r="MW35" s="39"/>
      <c r="MX35" s="39"/>
      <c r="MY35" s="39"/>
      <c r="MZ35" s="39"/>
      <c r="NA35" s="39"/>
      <c r="NB35" s="39"/>
      <c r="NC35" s="39"/>
      <c r="ND35" s="39"/>
      <c r="NE35" s="39"/>
      <c r="NF35" s="39"/>
      <c r="NG35" s="39"/>
      <c r="NH35" s="39"/>
      <c r="NI35" s="39"/>
      <c r="NJ35" s="39"/>
      <c r="NK35" s="39"/>
      <c r="NL35" s="39"/>
      <c r="NM35" s="39"/>
      <c r="NN35" s="39"/>
      <c r="NO35" s="39"/>
      <c r="NP35" s="39"/>
      <c r="NQ35" s="39"/>
      <c r="NR35" s="39"/>
      <c r="NS35" s="39"/>
      <c r="NT35" s="39"/>
      <c r="NU35" s="39"/>
      <c r="NV35" s="39"/>
      <c r="NW35" s="39"/>
      <c r="NX35" s="39"/>
      <c r="NY35" s="39"/>
      <c r="NZ35" s="39"/>
      <c r="OA35" s="39"/>
      <c r="OB35" s="39"/>
      <c r="OC35" s="39"/>
      <c r="OD35" s="39"/>
      <c r="OE35" s="39"/>
      <c r="OF35" s="39"/>
      <c r="OG35" s="39"/>
      <c r="OH35" s="39"/>
      <c r="OI35" s="39"/>
      <c r="OJ35" s="39"/>
      <c r="OK35" s="39"/>
      <c r="OL35" s="39"/>
      <c r="OM35" s="39"/>
      <c r="ON35" s="39"/>
      <c r="OO35" s="39"/>
      <c r="OP35" s="39"/>
      <c r="OQ35" s="39"/>
      <c r="OR35" s="39"/>
      <c r="OS35" s="39"/>
      <c r="OT35" s="39"/>
      <c r="OU35" s="39"/>
      <c r="OV35" s="39"/>
      <c r="OW35" s="39"/>
      <c r="OX35" s="39"/>
      <c r="OY35" s="39"/>
      <c r="OZ35" s="39"/>
      <c r="PA35" s="39"/>
      <c r="PB35" s="39"/>
      <c r="PC35" s="39"/>
      <c r="PD35" s="39"/>
      <c r="PE35" s="39"/>
      <c r="PF35" s="39"/>
      <c r="PG35" s="39"/>
      <c r="PH35" s="39"/>
      <c r="PI35" s="39"/>
      <c r="PJ35" s="39"/>
      <c r="PK35" s="39"/>
      <c r="PL35" s="39"/>
      <c r="PM35" s="39"/>
      <c r="PN35" s="39"/>
      <c r="PO35" s="39"/>
      <c r="PP35" s="39"/>
      <c r="PQ35" s="39"/>
      <c r="PR35" s="39"/>
      <c r="PS35" s="39"/>
      <c r="PT35" s="39"/>
      <c r="PU35" s="39"/>
      <c r="PV35" s="39"/>
      <c r="PW35" s="39"/>
      <c r="PX35" s="39"/>
      <c r="PY35" s="39"/>
      <c r="PZ35" s="39"/>
      <c r="QA35" s="39"/>
      <c r="QB35" s="39"/>
      <c r="QC35" s="39"/>
      <c r="QD35" s="39"/>
      <c r="QE35" s="39"/>
      <c r="QF35" s="39"/>
      <c r="QG35" s="39"/>
      <c r="QH35" s="39"/>
      <c r="QI35" s="39"/>
      <c r="QJ35" s="39"/>
      <c r="QK35" s="39"/>
      <c r="QL35" s="39"/>
      <c r="QM35" s="39"/>
      <c r="QN35" s="39"/>
      <c r="QO35" s="39"/>
      <c r="QP35" s="39"/>
      <c r="QQ35" s="39"/>
      <c r="QR35" s="39"/>
      <c r="QS35" s="39"/>
      <c r="QT35" s="39"/>
      <c r="QU35" s="39"/>
      <c r="QV35" s="39"/>
      <c r="QW35" s="39"/>
      <c r="QX35" s="39"/>
      <c r="QY35" s="39"/>
      <c r="QZ35" s="39"/>
      <c r="RA35" s="39"/>
      <c r="RB35" s="39"/>
      <c r="RC35" s="39"/>
      <c r="RD35" s="39"/>
      <c r="RE35" s="39"/>
      <c r="RF35" s="39"/>
      <c r="RG35" s="39"/>
      <c r="RH35" s="39"/>
      <c r="RI35" s="39"/>
      <c r="RJ35" s="39"/>
      <c r="RK35" s="39"/>
      <c r="RL35" s="39"/>
      <c r="RM35" s="39"/>
      <c r="RN35" s="39"/>
      <c r="RO35" s="39"/>
      <c r="RP35" s="39"/>
      <c r="RQ35" s="39"/>
      <c r="RR35" s="39"/>
      <c r="RS35" s="39"/>
      <c r="RT35" s="39"/>
      <c r="RU35" s="39"/>
      <c r="RV35" s="39"/>
      <c r="RW35" s="39"/>
      <c r="RX35" s="39"/>
      <c r="RY35" s="39"/>
      <c r="RZ35" s="39"/>
      <c r="SA35" s="39"/>
      <c r="SB35" s="39"/>
      <c r="SC35" s="39"/>
      <c r="SD35" s="39"/>
      <c r="SE35" s="39"/>
      <c r="SF35" s="39"/>
      <c r="SG35" s="39"/>
      <c r="SH35" s="39"/>
      <c r="SI35" s="39"/>
      <c r="SJ35" s="39"/>
      <c r="SK35" s="39"/>
      <c r="SL35" s="39"/>
      <c r="SM35" s="39"/>
      <c r="SN35" s="39"/>
      <c r="SO35" s="39"/>
      <c r="SP35" s="39"/>
      <c r="SQ35" s="39"/>
      <c r="SR35" s="39"/>
      <c r="SS35" s="39"/>
      <c r="ST35" s="39"/>
      <c r="SU35" s="39"/>
      <c r="SV35" s="39"/>
      <c r="SW35" s="39"/>
      <c r="SX35" s="39"/>
      <c r="SY35" s="39"/>
      <c r="SZ35" s="39"/>
      <c r="TA35" s="39"/>
      <c r="TB35" s="39"/>
      <c r="TC35" s="39"/>
      <c r="TD35" s="39"/>
      <c r="TE35" s="39"/>
      <c r="TF35" s="39"/>
      <c r="TG35" s="39"/>
      <c r="TH35" s="39"/>
      <c r="TI35" s="39"/>
      <c r="TJ35" s="39"/>
      <c r="TK35" s="39"/>
      <c r="TL35" s="39"/>
      <c r="TM35" s="39"/>
      <c r="TN35" s="39"/>
      <c r="TO35" s="39"/>
      <c r="TP35" s="39"/>
      <c r="TQ35" s="39"/>
      <c r="TR35" s="39"/>
      <c r="TS35" s="39"/>
      <c r="TT35" s="39"/>
      <c r="TU35" s="39"/>
      <c r="TV35" s="39"/>
      <c r="TW35" s="39"/>
      <c r="TX35" s="39"/>
      <c r="TY35" s="39"/>
      <c r="TZ35" s="39"/>
      <c r="UA35" s="39"/>
      <c r="UB35" s="39"/>
      <c r="UC35" s="39"/>
      <c r="UD35" s="39"/>
      <c r="UE35" s="39"/>
      <c r="UF35" s="39"/>
      <c r="UG35" s="39"/>
      <c r="UH35" s="39"/>
      <c r="UI35" s="39"/>
      <c r="UJ35" s="39"/>
      <c r="UK35" s="39"/>
      <c r="UL35" s="39"/>
      <c r="UM35" s="39"/>
      <c r="UN35" s="39"/>
      <c r="UO35" s="39"/>
      <c r="UP35" s="39"/>
      <c r="UQ35" s="39"/>
      <c r="UR35" s="39"/>
      <c r="US35" s="39"/>
      <c r="UT35" s="39"/>
      <c r="UU35" s="39"/>
      <c r="UV35" s="39"/>
      <c r="UW35" s="39"/>
      <c r="UX35" s="39"/>
      <c r="UY35" s="39"/>
      <c r="UZ35" s="39"/>
      <c r="VA35" s="39"/>
      <c r="VB35" s="39"/>
      <c r="VC35" s="39"/>
      <c r="VD35" s="39"/>
      <c r="VE35" s="39"/>
      <c r="VF35" s="39"/>
      <c r="VG35" s="39"/>
      <c r="VH35" s="39"/>
      <c r="VI35" s="39"/>
      <c r="VJ35" s="39"/>
      <c r="VK35" s="39"/>
      <c r="VL35" s="39"/>
      <c r="VM35" s="39"/>
      <c r="VN35" s="39"/>
      <c r="VO35" s="39"/>
      <c r="VP35" s="39"/>
      <c r="VQ35" s="39"/>
      <c r="VR35" s="39"/>
      <c r="VS35" s="39"/>
      <c r="VT35" s="39"/>
      <c r="VU35" s="39"/>
      <c r="VV35" s="39"/>
      <c r="VW35" s="39"/>
      <c r="VX35" s="39"/>
      <c r="VY35" s="39"/>
      <c r="VZ35" s="39"/>
      <c r="WA35" s="39"/>
      <c r="WB35" s="39"/>
      <c r="WC35" s="39"/>
      <c r="WD35" s="39"/>
      <c r="WE35" s="39"/>
      <c r="WF35" s="39"/>
      <c r="WG35" s="39"/>
      <c r="WH35" s="39"/>
      <c r="WI35" s="39"/>
      <c r="WJ35" s="39"/>
      <c r="WK35" s="39"/>
      <c r="WL35" s="39"/>
      <c r="WM35" s="39"/>
      <c r="WN35" s="39"/>
      <c r="WO35" s="39"/>
      <c r="WP35" s="39"/>
      <c r="WQ35" s="39"/>
      <c r="WR35" s="39"/>
      <c r="WS35" s="39"/>
      <c r="WT35" s="39"/>
      <c r="WU35" s="39"/>
      <c r="WV35" s="39"/>
      <c r="WW35" s="39"/>
      <c r="WX35" s="39"/>
      <c r="WY35" s="39"/>
      <c r="WZ35" s="39"/>
      <c r="XA35" s="39"/>
      <c r="XB35" s="39"/>
      <c r="XC35" s="39"/>
      <c r="XD35" s="39"/>
      <c r="XE35" s="39"/>
      <c r="XF35" s="39"/>
      <c r="XG35" s="39"/>
      <c r="XH35" s="39"/>
      <c r="XI35" s="39"/>
      <c r="XJ35" s="39"/>
      <c r="XK35" s="39"/>
      <c r="XL35" s="39"/>
      <c r="XM35" s="39"/>
      <c r="XN35" s="39"/>
      <c r="XO35" s="39"/>
      <c r="XP35" s="39"/>
      <c r="XQ35" s="39"/>
      <c r="XR35" s="39"/>
      <c r="XS35" s="39"/>
      <c r="XT35" s="39"/>
      <c r="XU35" s="39"/>
      <c r="XV35" s="39"/>
      <c r="XW35" s="39"/>
      <c r="XX35" s="39"/>
      <c r="XY35" s="39"/>
      <c r="XZ35" s="39"/>
      <c r="YA35" s="39"/>
      <c r="YB35" s="39"/>
      <c r="YC35" s="39"/>
      <c r="YD35" s="39"/>
      <c r="YE35" s="39"/>
      <c r="YF35" s="39"/>
      <c r="YG35" s="39"/>
      <c r="YH35" s="39"/>
      <c r="YI35" s="39"/>
      <c r="YJ35" s="39"/>
      <c r="YK35" s="39"/>
      <c r="YL35" s="39"/>
      <c r="YM35" s="39"/>
      <c r="YN35" s="39"/>
      <c r="YO35" s="39"/>
      <c r="YP35" s="39"/>
      <c r="YQ35" s="39"/>
      <c r="YR35" s="39"/>
      <c r="YS35" s="39"/>
      <c r="YT35" s="39"/>
      <c r="YU35" s="39"/>
      <c r="YV35" s="39"/>
      <c r="YW35" s="39"/>
      <c r="YX35" s="39"/>
      <c r="YY35" s="39"/>
      <c r="YZ35" s="39"/>
      <c r="ZA35" s="39"/>
      <c r="ZB35" s="39"/>
      <c r="ZC35" s="39"/>
      <c r="ZD35" s="39"/>
      <c r="ZE35" s="39"/>
      <c r="ZF35" s="39"/>
      <c r="ZG35" s="39"/>
      <c r="ZH35" s="39"/>
      <c r="ZI35" s="39"/>
      <c r="ZJ35" s="39"/>
      <c r="ZK35" s="39"/>
      <c r="ZL35" s="39"/>
      <c r="ZM35" s="39"/>
      <c r="ZN35" s="39"/>
      <c r="ZO35" s="39"/>
      <c r="ZP35" s="39"/>
      <c r="ZQ35" s="39"/>
      <c r="ZR35" s="39"/>
      <c r="ZS35" s="39"/>
      <c r="ZT35" s="39"/>
      <c r="ZU35" s="39"/>
      <c r="ZV35" s="39"/>
      <c r="ZW35" s="39"/>
      <c r="ZX35" s="39"/>
      <c r="ZY35" s="39"/>
      <c r="ZZ35" s="39"/>
      <c r="AAA35" s="39"/>
      <c r="AAB35" s="39"/>
      <c r="AAC35" s="39"/>
      <c r="AAD35" s="39"/>
      <c r="AAE35" s="39"/>
      <c r="AAF35" s="39"/>
      <c r="AAG35" s="39"/>
      <c r="AAH35" s="39"/>
      <c r="AAI35" s="39"/>
      <c r="AAJ35" s="39"/>
      <c r="AAK35" s="39"/>
      <c r="AAL35" s="39"/>
      <c r="AAM35" s="39"/>
      <c r="AAN35" s="39"/>
      <c r="AAO35" s="39"/>
      <c r="AAP35" s="39"/>
      <c r="AAQ35" s="39"/>
      <c r="AAR35" s="39"/>
      <c r="AAS35" s="39"/>
      <c r="AAT35" s="39"/>
      <c r="AAU35" s="39"/>
      <c r="AAV35" s="39"/>
      <c r="AAW35" s="39"/>
      <c r="AAX35" s="39"/>
      <c r="AAY35" s="39"/>
      <c r="AAZ35" s="39"/>
      <c r="ABA35" s="39"/>
      <c r="ABB35" s="39"/>
      <c r="ABC35" s="39"/>
      <c r="ABD35" s="39"/>
      <c r="ABE35" s="39"/>
      <c r="ABF35" s="39"/>
      <c r="ABG35" s="39"/>
      <c r="ABH35" s="39"/>
      <c r="ABI35" s="39"/>
      <c r="ABJ35" s="39"/>
      <c r="ABK35" s="39"/>
      <c r="ABL35" s="39"/>
      <c r="ABM35" s="39"/>
      <c r="ABN35" s="39"/>
      <c r="ABO35" s="39"/>
      <c r="ABP35" s="39"/>
      <c r="ABQ35" s="39"/>
      <c r="ABR35" s="39"/>
      <c r="ABS35" s="39"/>
      <c r="ABT35" s="39"/>
      <c r="ABU35" s="39"/>
      <c r="ABV35" s="39"/>
      <c r="ABW35" s="39"/>
      <c r="ABX35" s="39"/>
      <c r="ABY35" s="39"/>
      <c r="ABZ35" s="39"/>
      <c r="ACA35" s="39"/>
      <c r="ACB35" s="39"/>
      <c r="ACC35" s="39"/>
      <c r="ACD35" s="39"/>
      <c r="ACE35" s="39"/>
      <c r="ACF35" s="39"/>
      <c r="ACG35" s="39"/>
      <c r="ACH35" s="39"/>
      <c r="ACI35" s="39"/>
      <c r="ACJ35" s="39"/>
      <c r="ACK35" s="39"/>
      <c r="ACL35" s="39"/>
      <c r="ACM35" s="39"/>
      <c r="ACN35" s="39"/>
      <c r="ACO35" s="39"/>
      <c r="ACP35" s="39"/>
      <c r="ACQ35" s="39"/>
      <c r="ACR35" s="39"/>
      <c r="ACS35" s="39"/>
      <c r="ACT35" s="39"/>
      <c r="ACU35" s="39"/>
      <c r="ACV35" s="39"/>
      <c r="ACW35" s="39"/>
      <c r="ACX35" s="39"/>
      <c r="ACY35" s="39"/>
      <c r="ACZ35" s="39"/>
      <c r="ADA35" s="39"/>
      <c r="ADB35" s="39"/>
      <c r="ADC35" s="39"/>
      <c r="ADD35" s="39"/>
      <c r="ADE35" s="39"/>
      <c r="ADF35" s="39"/>
      <c r="ADG35" s="39"/>
      <c r="ADH35" s="39"/>
      <c r="ADI35" s="39"/>
      <c r="ADJ35" s="39"/>
      <c r="ADK35" s="39"/>
      <c r="ADL35" s="39"/>
      <c r="ADM35" s="39"/>
      <c r="ADN35" s="39"/>
      <c r="ADO35" s="39"/>
      <c r="ADP35" s="39"/>
      <c r="ADQ35" s="39"/>
      <c r="ADR35" s="39"/>
      <c r="ADS35" s="39"/>
      <c r="ADT35" s="39"/>
      <c r="ADU35" s="39"/>
      <c r="ADV35" s="39"/>
      <c r="ADW35" s="39"/>
      <c r="ADX35" s="39"/>
      <c r="ADY35" s="39"/>
      <c r="ADZ35" s="39"/>
      <c r="AEA35" s="39"/>
      <c r="AEB35" s="39"/>
      <c r="AEC35" s="39"/>
      <c r="AED35" s="39"/>
      <c r="AEE35" s="39"/>
      <c r="AEF35" s="39"/>
      <c r="AEG35" s="39"/>
      <c r="AEH35" s="39"/>
      <c r="AEI35" s="39"/>
      <c r="AEJ35" s="39"/>
      <c r="AEK35" s="39"/>
      <c r="AEL35" s="39"/>
      <c r="AEM35" s="39"/>
      <c r="AEN35" s="39"/>
      <c r="AEO35" s="39"/>
      <c r="AEP35" s="39"/>
      <c r="AEQ35" s="39"/>
      <c r="AER35" s="39"/>
      <c r="AES35" s="39"/>
      <c r="AET35" s="39"/>
      <c r="AEU35" s="39"/>
      <c r="AEV35" s="39"/>
      <c r="AEW35" s="39"/>
      <c r="AEX35" s="39"/>
      <c r="AEY35" s="39"/>
      <c r="AEZ35" s="39"/>
      <c r="AFA35" s="39"/>
      <c r="AFB35" s="39"/>
      <c r="AFC35" s="39"/>
      <c r="AFD35" s="39"/>
      <c r="AFE35" s="39"/>
      <c r="AFF35" s="39"/>
      <c r="AFG35" s="39"/>
      <c r="AFH35" s="39"/>
      <c r="AFI35" s="39"/>
      <c r="AFJ35" s="39"/>
      <c r="AFK35" s="39"/>
      <c r="AFL35" s="39"/>
      <c r="AFM35" s="39"/>
      <c r="AFN35" s="39"/>
      <c r="AFO35" s="39"/>
      <c r="AFP35" s="39"/>
      <c r="AFQ35" s="39"/>
      <c r="AFR35" s="39"/>
      <c r="AFS35" s="39"/>
      <c r="AFT35" s="39"/>
      <c r="AFU35" s="39"/>
      <c r="AFV35" s="39"/>
      <c r="AFW35" s="39"/>
      <c r="AFX35" s="39"/>
      <c r="AFY35" s="39"/>
      <c r="AFZ35" s="39"/>
      <c r="AGA35" s="39"/>
      <c r="AGB35" s="39"/>
      <c r="AGC35" s="39"/>
      <c r="AGD35" s="39"/>
      <c r="AGE35" s="39"/>
      <c r="AGF35" s="39"/>
      <c r="AGG35" s="39"/>
      <c r="AGH35" s="39"/>
      <c r="AGI35" s="39"/>
      <c r="AGJ35" s="39"/>
      <c r="AGK35" s="39"/>
      <c r="AGL35" s="39"/>
      <c r="AGM35" s="39"/>
      <c r="AGN35" s="39"/>
      <c r="AGO35" s="39"/>
      <c r="AGP35" s="39"/>
      <c r="AGQ35" s="39"/>
      <c r="AGR35" s="39"/>
      <c r="AGS35" s="39"/>
      <c r="AGT35" s="39"/>
      <c r="AGU35" s="39"/>
      <c r="AGV35" s="39"/>
      <c r="AGW35" s="39"/>
      <c r="AGX35" s="39"/>
      <c r="AGY35" s="39"/>
      <c r="AGZ35" s="39"/>
      <c r="AHA35" s="39"/>
      <c r="AHB35" s="39"/>
      <c r="AHC35" s="39"/>
      <c r="AHD35" s="39"/>
      <c r="AHE35" s="39"/>
      <c r="AHF35" s="39"/>
      <c r="AHG35" s="39"/>
      <c r="AHH35" s="39"/>
      <c r="AHI35" s="39"/>
      <c r="AHJ35" s="39"/>
      <c r="AHK35" s="39"/>
      <c r="AHL35" s="39"/>
      <c r="AHM35" s="39"/>
      <c r="AHN35" s="39"/>
      <c r="AHO35" s="39"/>
      <c r="AHP35" s="39"/>
      <c r="AHQ35" s="39"/>
      <c r="AHR35" s="39"/>
      <c r="AHS35" s="39"/>
      <c r="AHT35" s="39"/>
      <c r="AHU35" s="39"/>
      <c r="AHV35" s="39"/>
      <c r="AHW35" s="39"/>
      <c r="AHX35" s="39"/>
      <c r="AHY35" s="39"/>
      <c r="AHZ35" s="39"/>
      <c r="AIA35" s="39"/>
      <c r="AIB35" s="39"/>
      <c r="AIC35" s="39"/>
      <c r="AID35" s="39"/>
      <c r="AIE35" s="39"/>
      <c r="AIF35" s="39"/>
      <c r="AIG35" s="39"/>
      <c r="AIH35" s="39"/>
      <c r="AII35" s="39"/>
      <c r="AIJ35" s="39"/>
      <c r="AIK35" s="39"/>
      <c r="AIL35" s="39"/>
      <c r="AIM35" s="39"/>
      <c r="AIN35" s="39"/>
      <c r="AIO35" s="39"/>
      <c r="AIP35" s="39"/>
      <c r="AIQ35" s="39"/>
      <c r="AIR35" s="39"/>
      <c r="AIS35" s="39"/>
      <c r="AIT35" s="39"/>
      <c r="AIU35" s="39"/>
      <c r="AIV35" s="39"/>
      <c r="AIW35" s="39"/>
      <c r="AIX35" s="39"/>
      <c r="AIY35" s="39"/>
      <c r="AIZ35" s="39"/>
      <c r="AJA35" s="39"/>
      <c r="AJB35" s="39"/>
      <c r="AJC35" s="39"/>
      <c r="AJD35" s="39"/>
      <c r="AJE35" s="39"/>
      <c r="AJF35" s="39"/>
      <c r="AJG35" s="39"/>
      <c r="AJH35" s="39"/>
      <c r="AJI35" s="39"/>
      <c r="AJJ35" s="39"/>
      <c r="AJK35" s="39"/>
      <c r="AJL35" s="39"/>
      <c r="AJM35" s="39"/>
      <c r="AJN35" s="39"/>
      <c r="AJO35" s="39"/>
      <c r="AJP35" s="39"/>
      <c r="AJQ35" s="39"/>
      <c r="AJR35" s="39"/>
      <c r="AJS35" s="39"/>
      <c r="AJT35" s="39"/>
      <c r="AJU35" s="39"/>
      <c r="AJV35" s="39"/>
      <c r="AJW35" s="39"/>
      <c r="AJX35" s="39"/>
      <c r="AJY35" s="39"/>
      <c r="AJZ35" s="39"/>
      <c r="AKA35" s="39"/>
      <c r="AKB35" s="39"/>
      <c r="AKC35" s="39"/>
      <c r="AKD35" s="39"/>
      <c r="AKE35" s="39"/>
      <c r="AKF35" s="39"/>
      <c r="AKG35" s="39"/>
      <c r="AKH35" s="39"/>
      <c r="AKI35" s="39"/>
      <c r="AKJ35" s="39"/>
      <c r="AKK35" s="39"/>
      <c r="AKL35" s="39"/>
      <c r="AKM35" s="39"/>
      <c r="AKN35" s="39"/>
      <c r="AKO35" s="39"/>
      <c r="AKP35" s="39"/>
      <c r="AKQ35" s="39"/>
      <c r="AKR35" s="39"/>
      <c r="AKS35" s="39"/>
      <c r="AKT35" s="39"/>
      <c r="AKU35" s="39"/>
      <c r="AKV35" s="39"/>
      <c r="AKW35" s="39"/>
      <c r="AKX35" s="39"/>
      <c r="AKY35" s="39"/>
      <c r="AKZ35" s="39"/>
      <c r="ALA35" s="39"/>
      <c r="ALB35" s="39"/>
      <c r="ALC35" s="39"/>
      <c r="ALD35" s="39"/>
      <c r="ALE35" s="39"/>
      <c r="ALF35" s="39"/>
      <c r="ALG35" s="39"/>
      <c r="ALH35" s="39"/>
      <c r="ALI35" s="39"/>
      <c r="ALJ35" s="39"/>
      <c r="ALK35" s="39"/>
      <c r="ALL35" s="39"/>
      <c r="ALM35" s="39"/>
      <c r="ALN35" s="39"/>
      <c r="ALO35" s="39"/>
      <c r="ALP35" s="39"/>
      <c r="ALQ35" s="39"/>
      <c r="ALR35" s="39"/>
      <c r="ALS35" s="39"/>
      <c r="ALT35" s="39"/>
      <c r="ALU35" s="39"/>
      <c r="ALV35" s="39"/>
      <c r="ALW35" s="39"/>
      <c r="ALX35" s="39"/>
      <c r="ALY35" s="39"/>
      <c r="ALZ35" s="39"/>
      <c r="AMA35" s="39"/>
      <c r="AMB35" s="39"/>
      <c r="AMC35" s="39"/>
      <c r="AMD35" s="39"/>
      <c r="AME35" s="39"/>
      <c r="AMF35" s="39"/>
      <c r="AMG35" s="39"/>
      <c r="AMH35" s="39"/>
      <c r="AMI35" s="39"/>
      <c r="AMJ35" s="39"/>
      <c r="AMK35" s="39"/>
      <c r="AML35" s="39"/>
      <c r="AMM35" s="39"/>
      <c r="AMN35" s="39"/>
      <c r="AMO35" s="39"/>
      <c r="AMP35" s="39"/>
      <c r="AMQ35" s="39"/>
      <c r="AMR35" s="39"/>
      <c r="AMS35" s="39"/>
      <c r="AMT35" s="39"/>
      <c r="AMU35" s="39"/>
      <c r="AMV35" s="39"/>
      <c r="AMW35" s="39"/>
      <c r="AMX35" s="39"/>
      <c r="AMY35" s="39"/>
      <c r="AMZ35" s="39"/>
      <c r="ANA35" s="39"/>
      <c r="ANB35" s="39"/>
      <c r="ANC35" s="39"/>
      <c r="AND35" s="39"/>
      <c r="ANE35" s="39"/>
      <c r="ANF35" s="39"/>
      <c r="ANG35" s="39"/>
      <c r="ANH35" s="39"/>
      <c r="ANI35" s="39"/>
      <c r="ANJ35" s="39"/>
      <c r="ANK35" s="39"/>
      <c r="ANL35" s="39"/>
      <c r="ANM35" s="39"/>
      <c r="ANN35" s="39"/>
      <c r="ANO35" s="39"/>
      <c r="ANP35" s="39"/>
      <c r="ANQ35" s="39"/>
      <c r="ANR35" s="39"/>
      <c r="ANS35" s="39"/>
      <c r="ANT35" s="39"/>
      <c r="ANU35" s="39"/>
      <c r="ANV35" s="39"/>
      <c r="ANW35" s="39"/>
      <c r="ANX35" s="39"/>
      <c r="ANY35" s="39"/>
      <c r="ANZ35" s="39"/>
      <c r="AOA35" s="39"/>
      <c r="AOB35" s="39"/>
      <c r="AOC35" s="39"/>
      <c r="AOD35" s="39"/>
      <c r="AOE35" s="39"/>
      <c r="AOF35" s="39"/>
      <c r="AOG35" s="39"/>
      <c r="AOH35" s="39"/>
      <c r="AOI35" s="39"/>
      <c r="AOJ35" s="39"/>
      <c r="AOK35" s="39"/>
      <c r="AOL35" s="39"/>
      <c r="AOM35" s="39"/>
      <c r="AON35" s="39"/>
      <c r="AOO35" s="39"/>
      <c r="AOP35" s="39"/>
      <c r="AOQ35" s="39"/>
      <c r="AOR35" s="39"/>
      <c r="AOS35" s="39"/>
      <c r="AOT35" s="39"/>
      <c r="AOU35" s="39"/>
      <c r="AOV35" s="39"/>
      <c r="AOW35" s="39"/>
      <c r="AOX35" s="39"/>
      <c r="AOY35" s="39"/>
      <c r="AOZ35" s="39"/>
      <c r="APA35" s="39"/>
      <c r="APB35" s="39"/>
      <c r="APC35" s="39"/>
      <c r="APD35" s="39"/>
      <c r="APE35" s="39"/>
      <c r="APF35" s="39"/>
      <c r="APG35" s="39"/>
      <c r="APH35" s="39"/>
      <c r="API35" s="39"/>
      <c r="APJ35" s="39"/>
      <c r="APK35" s="39"/>
      <c r="APL35" s="39"/>
      <c r="APM35" s="39"/>
      <c r="APN35" s="39"/>
      <c r="APO35" s="39"/>
      <c r="APP35" s="39"/>
      <c r="APQ35" s="39"/>
      <c r="APR35" s="39"/>
      <c r="APS35" s="39"/>
      <c r="APT35" s="39"/>
      <c r="APU35" s="39"/>
      <c r="APV35" s="39"/>
      <c r="APW35" s="39"/>
      <c r="APX35" s="39"/>
      <c r="APY35" s="39"/>
      <c r="APZ35" s="39"/>
      <c r="AQA35" s="39"/>
      <c r="AQB35" s="39"/>
      <c r="AQC35" s="39"/>
      <c r="AQD35" s="39"/>
      <c r="AQE35" s="39"/>
      <c r="AQF35" s="39"/>
      <c r="AQG35" s="39"/>
      <c r="AQH35" s="39"/>
      <c r="AQI35" s="39"/>
      <c r="AQJ35" s="39"/>
      <c r="AQK35" s="39"/>
      <c r="AQL35" s="39"/>
      <c r="AQM35" s="39"/>
      <c r="AQN35" s="39"/>
      <c r="AQO35" s="39"/>
      <c r="AQP35" s="39"/>
      <c r="AQQ35" s="39"/>
      <c r="AQR35" s="39"/>
      <c r="AQS35" s="39"/>
      <c r="AQT35" s="39"/>
      <c r="AQU35" s="39"/>
      <c r="AQV35" s="39"/>
      <c r="AQW35" s="39"/>
      <c r="AQX35" s="39"/>
      <c r="AQY35" s="39"/>
      <c r="AQZ35" s="39"/>
      <c r="ARA35" s="39"/>
      <c r="ARB35" s="39"/>
      <c r="ARC35" s="39"/>
      <c r="ARD35" s="39"/>
      <c r="ARE35" s="39"/>
      <c r="ARF35" s="39"/>
      <c r="ARG35" s="39"/>
      <c r="ARH35" s="39"/>
      <c r="ARI35" s="39"/>
      <c r="ARJ35" s="39"/>
      <c r="ARK35" s="39"/>
      <c r="ARL35" s="39"/>
      <c r="ARM35" s="39"/>
      <c r="ARN35" s="39"/>
      <c r="ARO35" s="39"/>
      <c r="ARP35" s="39"/>
      <c r="ARQ35" s="39"/>
      <c r="ARR35" s="39"/>
      <c r="ARS35" s="39"/>
      <c r="ART35" s="39"/>
      <c r="ARU35" s="39"/>
      <c r="ARV35" s="39"/>
      <c r="ARW35" s="39"/>
      <c r="ARX35" s="39"/>
      <c r="ARY35" s="39"/>
      <c r="ARZ35" s="39"/>
      <c r="ASA35" s="39"/>
      <c r="ASB35" s="39"/>
      <c r="ASC35" s="39"/>
      <c r="ASD35" s="39"/>
      <c r="ASE35" s="39"/>
      <c r="ASF35" s="39"/>
      <c r="ASG35" s="39"/>
      <c r="ASH35" s="39"/>
      <c r="ASI35" s="39"/>
      <c r="ASJ35" s="39"/>
      <c r="ASK35" s="39"/>
      <c r="ASL35" s="39"/>
      <c r="ASM35" s="39"/>
      <c r="ASN35" s="39"/>
      <c r="ASO35" s="39"/>
      <c r="ASP35" s="39"/>
      <c r="ASQ35" s="39"/>
      <c r="ASR35" s="39"/>
      <c r="ASS35" s="39"/>
      <c r="AST35" s="39"/>
      <c r="ASU35" s="39"/>
      <c r="ASV35" s="39"/>
      <c r="ASW35" s="39"/>
      <c r="ASX35" s="39"/>
      <c r="ASY35" s="39"/>
      <c r="ASZ35" s="39"/>
      <c r="ATA35" s="39"/>
      <c r="ATB35" s="39"/>
      <c r="ATC35" s="39"/>
      <c r="ATD35" s="39"/>
      <c r="ATE35" s="39"/>
      <c r="ATF35" s="39"/>
      <c r="ATG35" s="39"/>
      <c r="ATH35" s="39"/>
      <c r="ATI35" s="39"/>
      <c r="ATJ35" s="39"/>
      <c r="ATK35" s="39"/>
      <c r="ATL35" s="39"/>
      <c r="ATM35" s="39"/>
      <c r="ATN35" s="39"/>
      <c r="ATO35" s="39"/>
      <c r="ATP35" s="39"/>
      <c r="ATQ35" s="39"/>
      <c r="ATR35" s="39"/>
      <c r="ATS35" s="39"/>
      <c r="ATT35" s="39"/>
      <c r="ATU35" s="39"/>
      <c r="ATV35" s="39"/>
      <c r="ATW35" s="39"/>
      <c r="ATX35" s="39"/>
      <c r="ATY35" s="39"/>
      <c r="ATZ35" s="39"/>
      <c r="AUA35" s="39"/>
      <c r="AUB35" s="39"/>
      <c r="AUC35" s="39"/>
      <c r="AUD35" s="39"/>
      <c r="AUE35" s="39"/>
      <c r="AUF35" s="39"/>
      <c r="AUG35" s="39"/>
      <c r="AUH35" s="39"/>
      <c r="AUI35" s="39"/>
      <c r="AUJ35" s="39"/>
      <c r="AUK35" s="39"/>
      <c r="AUL35" s="39"/>
      <c r="AUM35" s="39"/>
      <c r="AUN35" s="39"/>
      <c r="AUO35" s="39"/>
      <c r="AUP35" s="39"/>
      <c r="AUQ35" s="39"/>
      <c r="AUR35" s="39"/>
      <c r="AUS35" s="39"/>
      <c r="AUT35" s="39"/>
      <c r="AUU35" s="39"/>
      <c r="AUV35" s="39"/>
      <c r="AUW35" s="39"/>
      <c r="AUX35" s="39"/>
      <c r="AUY35" s="39"/>
      <c r="AUZ35" s="39"/>
      <c r="AVA35" s="39"/>
      <c r="AVB35" s="39"/>
      <c r="AVC35" s="39"/>
      <c r="AVD35" s="39"/>
      <c r="AVE35" s="39"/>
      <c r="AVF35" s="39"/>
      <c r="AVG35" s="39"/>
      <c r="AVH35" s="39"/>
      <c r="AVI35" s="39"/>
      <c r="AVJ35" s="39"/>
      <c r="AVK35" s="39"/>
      <c r="AVL35" s="39"/>
      <c r="AVM35" s="39"/>
      <c r="AVN35" s="39"/>
      <c r="AVO35" s="39"/>
      <c r="AVP35" s="39"/>
      <c r="AVQ35" s="39"/>
      <c r="AVR35" s="39"/>
      <c r="AVS35" s="39"/>
      <c r="AVT35" s="39"/>
      <c r="AVU35" s="39"/>
      <c r="AVV35" s="39"/>
      <c r="AVW35" s="39"/>
      <c r="AVX35" s="39"/>
      <c r="AVY35" s="39"/>
      <c r="AVZ35" s="39"/>
      <c r="AWA35" s="39"/>
      <c r="AWB35" s="39"/>
      <c r="AWC35" s="39"/>
      <c r="AWD35" s="39"/>
      <c r="AWE35" s="39"/>
      <c r="AWF35" s="39"/>
      <c r="AWG35" s="39"/>
      <c r="AWH35" s="39"/>
      <c r="AWI35" s="39"/>
      <c r="AWJ35" s="39"/>
      <c r="AWK35" s="39"/>
      <c r="AWL35" s="39"/>
      <c r="AWM35" s="39"/>
      <c r="AWN35" s="39"/>
      <c r="AWO35" s="39"/>
      <c r="AWP35" s="39"/>
      <c r="AWQ35" s="39"/>
      <c r="AWR35" s="39"/>
      <c r="AWS35" s="39"/>
      <c r="AWT35" s="39"/>
      <c r="AWU35" s="39"/>
      <c r="AWV35" s="39"/>
      <c r="AWW35" s="39"/>
      <c r="AWX35" s="39"/>
      <c r="AWY35" s="39"/>
      <c r="AWZ35" s="39"/>
      <c r="AXA35" s="39"/>
      <c r="AXB35" s="39"/>
      <c r="AXC35" s="39"/>
      <c r="AXD35" s="39"/>
      <c r="AXE35" s="39"/>
      <c r="AXF35" s="39"/>
      <c r="AXG35" s="39"/>
      <c r="AXH35" s="39"/>
      <c r="AXI35" s="39"/>
      <c r="AXJ35" s="39"/>
      <c r="AXK35" s="39"/>
      <c r="AXL35" s="39"/>
      <c r="AXM35" s="39"/>
      <c r="AXN35" s="39"/>
      <c r="AXO35" s="39"/>
      <c r="AXP35" s="39"/>
      <c r="AXQ35" s="39"/>
      <c r="AXR35" s="39"/>
      <c r="AXS35" s="39"/>
      <c r="AXT35" s="39"/>
      <c r="AXU35" s="39"/>
      <c r="AXV35" s="39"/>
      <c r="AXW35" s="39"/>
      <c r="AXX35" s="39"/>
      <c r="AXY35" s="39"/>
      <c r="AXZ35" s="39"/>
      <c r="AYA35" s="39"/>
      <c r="AYB35" s="39"/>
      <c r="AYC35" s="39"/>
      <c r="AYD35" s="39"/>
      <c r="AYE35" s="39"/>
      <c r="AYF35" s="39"/>
      <c r="AYG35" s="39"/>
      <c r="AYH35" s="39"/>
      <c r="AYI35" s="39"/>
      <c r="AYJ35" s="39"/>
      <c r="AYK35" s="39"/>
      <c r="AYL35" s="39"/>
      <c r="AYM35" s="39"/>
      <c r="AYN35" s="39"/>
      <c r="AYO35" s="39"/>
      <c r="AYP35" s="39"/>
      <c r="AYQ35" s="39"/>
      <c r="AYR35" s="39"/>
      <c r="AYS35" s="39"/>
      <c r="AYT35" s="39"/>
      <c r="AYU35" s="39"/>
      <c r="AYV35" s="39"/>
      <c r="AYW35" s="39"/>
      <c r="AYX35" s="39"/>
      <c r="AYY35" s="39"/>
      <c r="AYZ35" s="39"/>
      <c r="AZA35" s="39"/>
      <c r="AZB35" s="39"/>
      <c r="AZC35" s="39"/>
      <c r="AZD35" s="39"/>
      <c r="AZE35" s="39"/>
      <c r="AZF35" s="39"/>
      <c r="AZG35" s="39"/>
      <c r="AZH35" s="39"/>
      <c r="AZI35" s="39"/>
      <c r="AZJ35" s="39"/>
      <c r="AZK35" s="39"/>
      <c r="AZL35" s="39"/>
      <c r="AZM35" s="39"/>
      <c r="AZN35" s="39"/>
      <c r="AZO35" s="39"/>
      <c r="AZP35" s="39"/>
      <c r="AZQ35" s="39"/>
      <c r="AZR35" s="39"/>
      <c r="AZS35" s="39"/>
      <c r="AZT35" s="39"/>
      <c r="AZU35" s="39"/>
      <c r="AZV35" s="39"/>
      <c r="AZW35" s="39"/>
      <c r="AZX35" s="39"/>
      <c r="AZY35" s="39"/>
      <c r="AZZ35" s="39"/>
      <c r="BAA35" s="39"/>
      <c r="BAB35" s="39"/>
      <c r="BAC35" s="39"/>
      <c r="BAD35" s="39"/>
      <c r="BAE35" s="39"/>
      <c r="BAF35" s="39"/>
      <c r="BAG35" s="39"/>
      <c r="BAH35" s="39"/>
      <c r="BAI35" s="39"/>
      <c r="BAJ35" s="39"/>
      <c r="BAK35" s="39"/>
      <c r="BAL35" s="39"/>
      <c r="BAM35" s="39"/>
      <c r="BAN35" s="39"/>
      <c r="BAO35" s="39"/>
      <c r="BAP35" s="39"/>
      <c r="BAQ35" s="39"/>
      <c r="BAR35" s="39"/>
      <c r="BAS35" s="39"/>
      <c r="BAT35" s="39"/>
      <c r="BAU35" s="39"/>
      <c r="BAV35" s="39"/>
      <c r="BAW35" s="39"/>
      <c r="BAX35" s="39"/>
      <c r="BAY35" s="39"/>
      <c r="BAZ35" s="39"/>
      <c r="BBA35" s="39"/>
      <c r="BBB35" s="39"/>
      <c r="BBC35" s="39"/>
      <c r="BBD35" s="39"/>
      <c r="BBE35" s="39"/>
      <c r="BBF35" s="39"/>
      <c r="BBG35" s="39"/>
      <c r="BBH35" s="39"/>
      <c r="BBI35" s="39"/>
      <c r="BBJ35" s="39"/>
      <c r="BBK35" s="39"/>
      <c r="BBL35" s="39"/>
      <c r="BBM35" s="39"/>
      <c r="BBN35" s="39"/>
      <c r="BBO35" s="39"/>
      <c r="BBP35" s="39"/>
      <c r="BBQ35" s="39"/>
      <c r="BBR35" s="39"/>
      <c r="BBS35" s="39"/>
      <c r="BBT35" s="39"/>
      <c r="BBU35" s="39"/>
      <c r="BBV35" s="39"/>
      <c r="BBW35" s="39"/>
      <c r="BBX35" s="39"/>
      <c r="BBY35" s="39"/>
      <c r="BBZ35" s="39"/>
      <c r="BCA35" s="39"/>
      <c r="BCB35" s="39"/>
      <c r="BCC35" s="39"/>
      <c r="BCD35" s="39"/>
      <c r="BCE35" s="39"/>
      <c r="BCF35" s="39"/>
      <c r="BCG35" s="39"/>
      <c r="BCH35" s="39"/>
      <c r="BCI35" s="39"/>
      <c r="BCJ35" s="39"/>
      <c r="BCK35" s="39"/>
      <c r="BCL35" s="39"/>
      <c r="BCM35" s="39"/>
      <c r="BCN35" s="39"/>
      <c r="BCO35" s="39"/>
      <c r="BCP35" s="39"/>
      <c r="BCQ35" s="39"/>
      <c r="BCR35" s="39"/>
      <c r="BCS35" s="39"/>
      <c r="BCT35" s="39"/>
      <c r="BCU35" s="39"/>
      <c r="BCV35" s="39"/>
      <c r="BCW35" s="39"/>
      <c r="BCX35" s="39"/>
      <c r="BCY35" s="39"/>
      <c r="BCZ35" s="39"/>
      <c r="BDA35" s="39"/>
      <c r="BDB35" s="39"/>
      <c r="BDC35" s="39"/>
      <c r="BDD35" s="39"/>
      <c r="BDE35" s="39"/>
      <c r="BDF35" s="39"/>
      <c r="BDG35" s="39"/>
      <c r="BDH35" s="39"/>
      <c r="BDI35" s="39"/>
      <c r="BDJ35" s="39"/>
      <c r="BDK35" s="39"/>
      <c r="BDL35" s="39"/>
      <c r="BDM35" s="39"/>
      <c r="BDN35" s="39"/>
      <c r="BDO35" s="39"/>
      <c r="BDP35" s="39"/>
      <c r="BDQ35" s="39"/>
      <c r="BDR35" s="39"/>
      <c r="BDS35" s="39"/>
      <c r="BDT35" s="39"/>
      <c r="BDU35" s="39"/>
      <c r="BDV35" s="39"/>
      <c r="BDW35" s="39"/>
      <c r="BDX35" s="39"/>
      <c r="BDY35" s="39"/>
      <c r="BDZ35" s="39"/>
      <c r="BEA35" s="39"/>
      <c r="BEB35" s="39"/>
      <c r="BEC35" s="39"/>
      <c r="BED35" s="39"/>
      <c r="BEE35" s="39"/>
      <c r="BEF35" s="39"/>
      <c r="BEG35" s="39"/>
      <c r="BEH35" s="39"/>
      <c r="BEI35" s="39"/>
      <c r="BEJ35" s="39"/>
      <c r="BEK35" s="39"/>
      <c r="BEL35" s="39"/>
      <c r="BEM35" s="39"/>
      <c r="BEN35" s="39"/>
      <c r="BEO35" s="39"/>
      <c r="BEP35" s="39"/>
      <c r="BEQ35" s="39"/>
      <c r="BER35" s="39"/>
      <c r="BES35" s="39"/>
      <c r="BET35" s="39"/>
      <c r="BEU35" s="39"/>
      <c r="BEV35" s="39"/>
      <c r="BEW35" s="39"/>
      <c r="BEX35" s="39"/>
      <c r="BEY35" s="39"/>
      <c r="BEZ35" s="39"/>
      <c r="BFA35" s="39"/>
      <c r="BFB35" s="39"/>
      <c r="BFC35" s="39"/>
      <c r="BFD35" s="39"/>
      <c r="BFE35" s="39"/>
      <c r="BFF35" s="39"/>
      <c r="BFG35" s="39"/>
      <c r="BFH35" s="39"/>
      <c r="BFI35" s="39"/>
      <c r="BFJ35" s="39"/>
      <c r="BFK35" s="39"/>
      <c r="BFL35" s="39"/>
      <c r="BFM35" s="39"/>
      <c r="BFN35" s="39"/>
      <c r="BFO35" s="39"/>
      <c r="BFP35" s="39"/>
      <c r="BFQ35" s="39"/>
      <c r="BFR35" s="39"/>
      <c r="BFS35" s="39"/>
      <c r="BFT35" s="39"/>
      <c r="BFU35" s="39"/>
      <c r="BFV35" s="39"/>
      <c r="BFW35" s="39"/>
      <c r="BFX35" s="39"/>
      <c r="BFY35" s="39"/>
      <c r="BFZ35" s="39"/>
      <c r="BGA35" s="39"/>
      <c r="BGB35" s="39"/>
      <c r="BGC35" s="39"/>
      <c r="BGD35" s="39"/>
      <c r="BGE35" s="39"/>
      <c r="BGF35" s="39"/>
      <c r="BGG35" s="39"/>
      <c r="BGH35" s="39"/>
      <c r="BGI35" s="39"/>
      <c r="BGJ35" s="39"/>
      <c r="BGK35" s="39"/>
      <c r="BGL35" s="39"/>
      <c r="BGM35" s="39"/>
      <c r="BGN35" s="39"/>
      <c r="BGO35" s="39"/>
      <c r="BGP35" s="39"/>
      <c r="BGQ35" s="39"/>
      <c r="BGR35" s="39"/>
      <c r="BGS35" s="39"/>
      <c r="BGT35" s="39"/>
      <c r="BGU35" s="39"/>
      <c r="BGV35" s="39"/>
      <c r="BGW35" s="39"/>
      <c r="BGX35" s="39"/>
      <c r="BGY35" s="39"/>
      <c r="BGZ35" s="39"/>
      <c r="BHA35" s="39"/>
      <c r="BHB35" s="39"/>
      <c r="BHC35" s="39"/>
      <c r="BHD35" s="39"/>
      <c r="BHE35" s="39"/>
      <c r="BHF35" s="39"/>
      <c r="BHG35" s="39"/>
      <c r="BHH35" s="39"/>
      <c r="BHI35" s="39"/>
      <c r="BHJ35" s="39"/>
      <c r="BHK35" s="39"/>
      <c r="BHL35" s="39"/>
      <c r="BHM35" s="39"/>
      <c r="BHN35" s="39"/>
      <c r="BHO35" s="39"/>
      <c r="BHP35" s="39"/>
      <c r="BHQ35" s="39"/>
      <c r="BHR35" s="39"/>
      <c r="BHS35" s="39"/>
      <c r="BHT35" s="39"/>
      <c r="BHU35" s="39"/>
      <c r="BHV35" s="39"/>
      <c r="BHW35" s="39"/>
      <c r="BHX35" s="39"/>
      <c r="BHY35" s="39"/>
      <c r="BHZ35" s="39"/>
      <c r="BIA35" s="39"/>
      <c r="BIB35" s="39"/>
      <c r="BIC35" s="39"/>
      <c r="BID35" s="39"/>
      <c r="BIE35" s="39"/>
      <c r="BIF35" s="39"/>
      <c r="BIG35" s="39"/>
      <c r="BIH35" s="39"/>
      <c r="BII35" s="39"/>
      <c r="BIJ35" s="39"/>
      <c r="BIK35" s="39"/>
      <c r="BIL35" s="39"/>
      <c r="BIM35" s="39"/>
      <c r="BIN35" s="39"/>
      <c r="BIO35" s="39"/>
      <c r="BIP35" s="39"/>
      <c r="BIQ35" s="39"/>
      <c r="BIR35" s="39"/>
      <c r="BIS35" s="39"/>
      <c r="BIT35" s="39"/>
      <c r="BIU35" s="39"/>
      <c r="BIV35" s="39"/>
      <c r="BIW35" s="39"/>
      <c r="BIX35" s="39"/>
      <c r="BIY35" s="39"/>
      <c r="BIZ35" s="39"/>
      <c r="BJA35" s="39"/>
      <c r="BJB35" s="39"/>
      <c r="BJC35" s="39"/>
      <c r="BJD35" s="39"/>
      <c r="BJE35" s="39"/>
      <c r="BJF35" s="39"/>
      <c r="BJG35" s="39"/>
      <c r="BJH35" s="39"/>
      <c r="BJI35" s="39"/>
      <c r="BJJ35" s="39"/>
      <c r="BJK35" s="39"/>
      <c r="BJL35" s="39"/>
      <c r="BJM35" s="39"/>
      <c r="BJN35" s="39"/>
      <c r="BJO35" s="39"/>
      <c r="BJP35" s="39"/>
      <c r="BJQ35" s="39"/>
      <c r="BJR35" s="39"/>
      <c r="BJS35" s="39"/>
      <c r="BJT35" s="39"/>
      <c r="BJU35" s="39"/>
      <c r="BJV35" s="39"/>
      <c r="BJW35" s="39"/>
      <c r="BJX35" s="39"/>
      <c r="BJY35" s="39"/>
      <c r="BJZ35" s="39"/>
      <c r="BKA35" s="39"/>
      <c r="BKB35" s="39"/>
      <c r="BKC35" s="39"/>
      <c r="BKD35" s="39"/>
      <c r="BKE35" s="39"/>
      <c r="BKF35" s="39"/>
      <c r="BKG35" s="39"/>
      <c r="BKH35" s="39"/>
      <c r="BKI35" s="39"/>
      <c r="BKJ35" s="39"/>
      <c r="BKK35" s="39"/>
      <c r="BKL35" s="39"/>
      <c r="BKM35" s="39"/>
      <c r="BKN35" s="39"/>
      <c r="BKO35" s="39"/>
      <c r="BKP35" s="39"/>
      <c r="BKQ35" s="39"/>
      <c r="BKR35" s="39"/>
      <c r="BKS35" s="39"/>
      <c r="BKT35" s="39"/>
      <c r="BKU35" s="39"/>
      <c r="BKV35" s="39"/>
      <c r="BKW35" s="39"/>
      <c r="BKX35" s="39"/>
      <c r="BKY35" s="39"/>
      <c r="BKZ35" s="39"/>
      <c r="BLA35" s="39"/>
      <c r="BLB35" s="39"/>
      <c r="BLC35" s="39"/>
      <c r="BLD35" s="39"/>
      <c r="BLE35" s="39"/>
      <c r="BLF35" s="39"/>
      <c r="BLG35" s="39"/>
      <c r="BLH35" s="39"/>
      <c r="BLI35" s="39"/>
      <c r="BLJ35" s="39"/>
      <c r="BLK35" s="39"/>
      <c r="BLL35" s="39"/>
      <c r="BLM35" s="39"/>
      <c r="BLN35" s="39"/>
      <c r="BLO35" s="39"/>
      <c r="BLP35" s="39"/>
      <c r="BLQ35" s="39"/>
      <c r="BLR35" s="39"/>
      <c r="BLS35" s="39"/>
      <c r="BLT35" s="39"/>
      <c r="BLU35" s="39"/>
      <c r="BLV35" s="39"/>
      <c r="BLW35" s="39"/>
      <c r="BLX35" s="39"/>
      <c r="BLY35" s="39"/>
      <c r="BLZ35" s="39"/>
      <c r="BMA35" s="39"/>
      <c r="BMB35" s="39"/>
      <c r="BMC35" s="39"/>
      <c r="BMD35" s="39"/>
      <c r="BME35" s="39"/>
      <c r="BMF35" s="39"/>
      <c r="BMG35" s="39"/>
      <c r="BMH35" s="39"/>
      <c r="BMI35" s="39"/>
      <c r="BMJ35" s="39"/>
      <c r="BMK35" s="39"/>
      <c r="BML35" s="39"/>
      <c r="BMM35" s="39"/>
      <c r="BMN35" s="39"/>
      <c r="BMO35" s="39"/>
      <c r="BMP35" s="39"/>
      <c r="BMQ35" s="39"/>
      <c r="BMR35" s="39"/>
      <c r="BMS35" s="39"/>
      <c r="BMT35" s="39"/>
      <c r="BMU35" s="39"/>
      <c r="BMV35" s="39"/>
      <c r="BMW35" s="39"/>
      <c r="BMX35" s="39"/>
      <c r="BMY35" s="39"/>
      <c r="BMZ35" s="39"/>
      <c r="BNA35" s="39"/>
      <c r="BNB35" s="39"/>
      <c r="BNC35" s="39"/>
      <c r="BND35" s="39"/>
      <c r="BNE35" s="39"/>
      <c r="BNF35" s="39"/>
      <c r="BNG35" s="39"/>
      <c r="BNH35" s="39"/>
      <c r="BNI35" s="39"/>
      <c r="BNJ35" s="39"/>
      <c r="BNK35" s="39"/>
      <c r="BNL35" s="39"/>
      <c r="BNM35" s="39"/>
      <c r="BNN35" s="39"/>
      <c r="BNO35" s="39"/>
      <c r="BNP35" s="39"/>
      <c r="BNQ35" s="39"/>
      <c r="BNR35" s="39"/>
      <c r="BNS35" s="39"/>
      <c r="BNT35" s="39"/>
      <c r="BNU35" s="39"/>
      <c r="BNV35" s="39"/>
      <c r="BNW35" s="39"/>
      <c r="BNX35" s="39"/>
      <c r="BNY35" s="39"/>
      <c r="BNZ35" s="39"/>
      <c r="BOA35" s="39"/>
      <c r="BOB35" s="39"/>
      <c r="BOC35" s="39"/>
      <c r="BOD35" s="39"/>
      <c r="BOE35" s="39"/>
      <c r="BOF35" s="39"/>
      <c r="BOG35" s="39"/>
      <c r="BOH35" s="39"/>
      <c r="BOI35" s="39"/>
      <c r="BOJ35" s="39"/>
      <c r="BOK35" s="39"/>
      <c r="BOL35" s="39"/>
      <c r="BOM35" s="39"/>
      <c r="BON35" s="39"/>
      <c r="BOO35" s="39"/>
      <c r="BOP35" s="39"/>
      <c r="BOQ35" s="39"/>
      <c r="BOR35" s="39"/>
      <c r="BOS35" s="39"/>
      <c r="BOT35" s="39"/>
      <c r="BOU35" s="39"/>
      <c r="BOV35" s="39"/>
      <c r="BOW35" s="39"/>
      <c r="BOX35" s="39"/>
      <c r="BOY35" s="39"/>
      <c r="BOZ35" s="39"/>
      <c r="BPA35" s="39"/>
      <c r="BPB35" s="39"/>
      <c r="BPC35" s="39"/>
      <c r="BPD35" s="39"/>
      <c r="BPE35" s="39"/>
      <c r="BPF35" s="39"/>
      <c r="BPG35" s="39"/>
      <c r="BPH35" s="39"/>
      <c r="BPI35" s="39"/>
      <c r="BPJ35" s="39"/>
      <c r="BPK35" s="39"/>
      <c r="BPL35" s="39"/>
      <c r="BPM35" s="39"/>
      <c r="BPN35" s="39"/>
      <c r="BPO35" s="39"/>
      <c r="BPP35" s="39"/>
      <c r="BPQ35" s="39"/>
      <c r="BPR35" s="39"/>
      <c r="BPS35" s="39"/>
      <c r="BPT35" s="39"/>
      <c r="BPU35" s="39"/>
      <c r="BPV35" s="39"/>
      <c r="BPW35" s="39"/>
      <c r="BPX35" s="39"/>
      <c r="BPY35" s="39"/>
      <c r="BPZ35" s="39"/>
      <c r="BQA35" s="39"/>
      <c r="BQB35" s="39"/>
      <c r="BQC35" s="39"/>
      <c r="BQD35" s="39"/>
      <c r="BQE35" s="39"/>
      <c r="BQF35" s="39"/>
      <c r="BQG35" s="39"/>
      <c r="BQH35" s="39"/>
      <c r="BQI35" s="39"/>
      <c r="BQJ35" s="39"/>
      <c r="BQK35" s="39"/>
      <c r="BQL35" s="39"/>
      <c r="BQM35" s="39"/>
      <c r="BQN35" s="39"/>
      <c r="BQO35" s="39"/>
      <c r="BQP35" s="39"/>
      <c r="BQQ35" s="39"/>
      <c r="BQR35" s="39"/>
      <c r="BQS35" s="39"/>
      <c r="BQT35" s="39"/>
      <c r="BQU35" s="39"/>
      <c r="BQV35" s="39"/>
      <c r="BQW35" s="39"/>
      <c r="BQX35" s="39"/>
      <c r="BQY35" s="39"/>
      <c r="BQZ35" s="39"/>
      <c r="BRA35" s="39"/>
      <c r="BRB35" s="39"/>
      <c r="BRC35" s="39"/>
      <c r="BRD35" s="39"/>
      <c r="BRE35" s="39"/>
      <c r="BRF35" s="39"/>
      <c r="BRG35" s="39"/>
      <c r="BRH35" s="39"/>
      <c r="BRI35" s="39"/>
      <c r="BRJ35" s="39"/>
      <c r="BRK35" s="39"/>
      <c r="BRL35" s="39"/>
      <c r="BRM35" s="39"/>
      <c r="BRN35" s="39"/>
      <c r="BRO35" s="39"/>
      <c r="BRP35" s="39"/>
      <c r="BRQ35" s="39"/>
      <c r="BRR35" s="39"/>
      <c r="BRS35" s="39"/>
      <c r="BRT35" s="39"/>
      <c r="BRU35" s="39"/>
      <c r="BRV35" s="39"/>
      <c r="BRW35" s="39"/>
      <c r="BRX35" s="39"/>
      <c r="BRY35" s="39"/>
      <c r="BRZ35" s="39"/>
      <c r="BSA35" s="39"/>
      <c r="BSB35" s="39"/>
      <c r="BSC35" s="39"/>
      <c r="BSD35" s="39"/>
      <c r="BSE35" s="39"/>
      <c r="BSF35" s="39"/>
      <c r="BSG35" s="39"/>
      <c r="BSH35" s="39"/>
      <c r="BSI35" s="39"/>
      <c r="BSJ35" s="39"/>
      <c r="BSK35" s="39"/>
      <c r="BSL35" s="39"/>
      <c r="BSM35" s="39"/>
      <c r="BSN35" s="39"/>
      <c r="BSO35" s="39"/>
      <c r="BSP35" s="39"/>
      <c r="BSQ35" s="39"/>
      <c r="BSR35" s="39"/>
      <c r="BSS35" s="39"/>
      <c r="BST35" s="39"/>
      <c r="BSU35" s="39"/>
      <c r="BSV35" s="39"/>
      <c r="BSW35" s="39"/>
      <c r="BSX35" s="39"/>
      <c r="BSY35" s="39"/>
      <c r="BSZ35" s="39"/>
      <c r="BTA35" s="39"/>
      <c r="BTB35" s="39"/>
      <c r="BTC35" s="39"/>
      <c r="BTD35" s="39"/>
      <c r="BTE35" s="39"/>
      <c r="BTF35" s="39"/>
      <c r="BTG35" s="39"/>
      <c r="BTH35" s="39"/>
      <c r="BTI35" s="39"/>
      <c r="BTJ35" s="39"/>
      <c r="BTK35" s="39"/>
      <c r="BTL35" s="39"/>
      <c r="BTM35" s="39"/>
      <c r="BTN35" s="39"/>
      <c r="BTO35" s="39"/>
      <c r="BTP35" s="39"/>
      <c r="BTQ35" s="39"/>
      <c r="BTR35" s="39"/>
      <c r="BTS35" s="39"/>
      <c r="BTT35" s="39"/>
      <c r="BTU35" s="39"/>
      <c r="BTV35" s="39"/>
      <c r="BTW35" s="39"/>
      <c r="BTX35" s="39"/>
      <c r="BTY35" s="39"/>
      <c r="BTZ35" s="39"/>
      <c r="BUA35" s="39"/>
      <c r="BUB35" s="39"/>
      <c r="BUC35" s="39"/>
      <c r="BUD35" s="39"/>
      <c r="BUE35" s="39"/>
      <c r="BUF35" s="39"/>
      <c r="BUG35" s="39"/>
      <c r="BUH35" s="39"/>
      <c r="BUI35" s="39"/>
      <c r="BUJ35" s="39"/>
      <c r="BUK35" s="39"/>
      <c r="BUL35" s="39"/>
      <c r="BUM35" s="39"/>
      <c r="BUN35" s="39"/>
      <c r="BUO35" s="39"/>
      <c r="BUP35" s="39"/>
      <c r="BUQ35" s="39"/>
      <c r="BUR35" s="39"/>
      <c r="BUS35" s="39"/>
      <c r="BUT35" s="39"/>
      <c r="BUU35" s="39"/>
      <c r="BUV35" s="39"/>
      <c r="BUW35" s="39"/>
      <c r="BUX35" s="39"/>
      <c r="BUY35" s="39"/>
      <c r="BUZ35" s="39"/>
      <c r="BVA35" s="39"/>
      <c r="BVB35" s="39"/>
      <c r="BVC35" s="39"/>
      <c r="BVD35" s="39"/>
      <c r="BVE35" s="39"/>
      <c r="BVF35" s="39"/>
      <c r="BVG35" s="39"/>
      <c r="BVH35" s="39"/>
      <c r="BVI35" s="39"/>
      <c r="BVJ35" s="39"/>
      <c r="BVK35" s="39"/>
      <c r="BVL35" s="39"/>
      <c r="BVM35" s="39"/>
      <c r="BVN35" s="39"/>
      <c r="BVO35" s="39"/>
      <c r="BVP35" s="39"/>
      <c r="BVQ35" s="39"/>
      <c r="BVR35" s="39"/>
      <c r="BVS35" s="39"/>
      <c r="BVT35" s="39"/>
      <c r="BVU35" s="39"/>
      <c r="BVV35" s="39"/>
      <c r="BVW35" s="39"/>
      <c r="BVX35" s="39"/>
      <c r="BVY35" s="39"/>
      <c r="BVZ35" s="39"/>
      <c r="BWA35" s="39"/>
      <c r="BWB35" s="39"/>
      <c r="BWC35" s="39"/>
      <c r="BWD35" s="39"/>
      <c r="BWE35" s="39"/>
      <c r="BWF35" s="39"/>
      <c r="BWG35" s="39"/>
      <c r="BWH35" s="39"/>
      <c r="BWI35" s="39"/>
      <c r="BWJ35" s="39"/>
      <c r="BWK35" s="39"/>
      <c r="BWL35" s="39"/>
      <c r="BWM35" s="39"/>
      <c r="BWN35" s="39"/>
      <c r="BWO35" s="39"/>
      <c r="BWP35" s="39"/>
      <c r="BWQ35" s="39"/>
      <c r="BWR35" s="39"/>
      <c r="BWS35" s="39"/>
      <c r="BWT35" s="39"/>
      <c r="BWU35" s="39"/>
      <c r="BWV35" s="39"/>
      <c r="BWW35" s="39"/>
      <c r="BWX35" s="39"/>
      <c r="BWY35" s="39"/>
      <c r="BWZ35" s="39"/>
      <c r="BXA35" s="39"/>
      <c r="BXB35" s="39"/>
      <c r="BXC35" s="39"/>
      <c r="BXD35" s="39"/>
      <c r="BXE35" s="39"/>
      <c r="BXF35" s="39"/>
      <c r="BXG35" s="39"/>
      <c r="BXH35" s="39"/>
      <c r="BXI35" s="39"/>
      <c r="BXJ35" s="39"/>
      <c r="BXK35" s="39"/>
      <c r="BXL35" s="39"/>
      <c r="BXM35" s="39"/>
      <c r="BXN35" s="39"/>
      <c r="BXO35" s="39"/>
      <c r="BXP35" s="39"/>
      <c r="BXQ35" s="39"/>
      <c r="BXR35" s="39"/>
      <c r="BXS35" s="39"/>
      <c r="BXT35" s="39"/>
      <c r="BXU35" s="39"/>
      <c r="BXV35" s="39"/>
      <c r="BXW35" s="39"/>
      <c r="BXX35" s="39"/>
      <c r="BXY35" s="39"/>
      <c r="BXZ35" s="39"/>
      <c r="BYA35" s="39"/>
      <c r="BYB35" s="39"/>
      <c r="BYC35" s="39"/>
      <c r="BYD35" s="39"/>
      <c r="BYE35" s="39"/>
      <c r="BYF35" s="39"/>
      <c r="BYG35" s="39"/>
      <c r="BYH35" s="39"/>
      <c r="BYI35" s="39"/>
      <c r="BYJ35" s="39"/>
      <c r="BYK35" s="39"/>
      <c r="BYL35" s="39"/>
      <c r="BYM35" s="39"/>
      <c r="BYN35" s="39"/>
      <c r="BYO35" s="39"/>
      <c r="BYP35" s="39"/>
      <c r="BYQ35" s="39"/>
      <c r="BYR35" s="39"/>
      <c r="BYS35" s="39"/>
      <c r="BYT35" s="39"/>
      <c r="BYU35" s="39"/>
      <c r="BYV35" s="39"/>
      <c r="BYW35" s="39"/>
      <c r="BYX35" s="39"/>
      <c r="BYY35" s="39"/>
      <c r="BYZ35" s="39"/>
      <c r="BZA35" s="39"/>
      <c r="BZB35" s="39"/>
      <c r="BZC35" s="39"/>
      <c r="BZD35" s="39"/>
      <c r="BZE35" s="39"/>
      <c r="BZF35" s="39"/>
      <c r="BZG35" s="39"/>
      <c r="BZH35" s="39"/>
      <c r="BZI35" s="39"/>
      <c r="BZJ35" s="39"/>
      <c r="BZK35" s="39"/>
      <c r="BZL35" s="39"/>
      <c r="BZM35" s="39"/>
      <c r="BZN35" s="39"/>
      <c r="BZO35" s="39"/>
      <c r="BZP35" s="39"/>
      <c r="BZQ35" s="39"/>
      <c r="BZR35" s="39"/>
      <c r="BZS35" s="39"/>
      <c r="BZT35" s="39"/>
      <c r="BZU35" s="39"/>
      <c r="BZV35" s="39"/>
      <c r="BZW35" s="39"/>
      <c r="BZX35" s="39"/>
      <c r="BZY35" s="39"/>
      <c r="BZZ35" s="39"/>
      <c r="CAA35" s="39"/>
      <c r="CAB35" s="39"/>
      <c r="CAC35" s="39"/>
      <c r="CAD35" s="39"/>
      <c r="CAE35" s="39"/>
      <c r="CAF35" s="39"/>
      <c r="CAG35" s="39"/>
      <c r="CAH35" s="39"/>
      <c r="CAI35" s="39"/>
      <c r="CAJ35" s="39"/>
      <c r="CAK35" s="39"/>
      <c r="CAL35" s="39"/>
      <c r="CAM35" s="39"/>
      <c r="CAN35" s="39"/>
      <c r="CAO35" s="39"/>
      <c r="CAP35" s="39"/>
      <c r="CAQ35" s="39"/>
      <c r="CAR35" s="39"/>
      <c r="CAS35" s="39"/>
      <c r="CAT35" s="39"/>
      <c r="CAU35" s="39"/>
      <c r="CAV35" s="39"/>
      <c r="CAW35" s="39"/>
      <c r="CAX35" s="39"/>
      <c r="CAY35" s="39"/>
      <c r="CAZ35" s="39"/>
      <c r="CBA35" s="39"/>
      <c r="CBB35" s="39"/>
      <c r="CBC35" s="39"/>
      <c r="CBD35" s="39"/>
      <c r="CBE35" s="39"/>
      <c r="CBF35" s="39"/>
      <c r="CBG35" s="39"/>
      <c r="CBH35" s="39"/>
      <c r="CBI35" s="39"/>
      <c r="CBJ35" s="39"/>
      <c r="CBK35" s="39"/>
      <c r="CBL35" s="39"/>
      <c r="CBM35" s="39"/>
      <c r="CBN35" s="39"/>
      <c r="CBO35" s="39"/>
      <c r="CBP35" s="39"/>
      <c r="CBQ35" s="39"/>
      <c r="CBR35" s="39"/>
      <c r="CBS35" s="39"/>
      <c r="CBT35" s="39"/>
      <c r="CBU35" s="39"/>
      <c r="CBV35" s="39"/>
      <c r="CBW35" s="39"/>
      <c r="CBX35" s="39"/>
      <c r="CBY35" s="39"/>
      <c r="CBZ35" s="39"/>
      <c r="CCA35" s="39"/>
      <c r="CCB35" s="39"/>
      <c r="CCC35" s="39"/>
      <c r="CCD35" s="39"/>
      <c r="CCE35" s="39"/>
      <c r="CCF35" s="39"/>
      <c r="CCG35" s="39"/>
      <c r="CCH35" s="39"/>
      <c r="CCI35" s="39"/>
      <c r="CCJ35" s="39"/>
      <c r="CCK35" s="39"/>
      <c r="CCL35" s="39"/>
      <c r="CCM35" s="39"/>
      <c r="CCN35" s="39"/>
      <c r="CCO35" s="39"/>
      <c r="CCP35" s="39"/>
      <c r="CCQ35" s="39"/>
      <c r="CCR35" s="39"/>
      <c r="CCS35" s="39"/>
      <c r="CCT35" s="39"/>
      <c r="CCU35" s="39"/>
      <c r="CCV35" s="39"/>
      <c r="CCW35" s="39"/>
      <c r="CCX35" s="39"/>
      <c r="CCY35" s="39"/>
      <c r="CCZ35" s="39"/>
      <c r="CDA35" s="39"/>
      <c r="CDB35" s="39"/>
      <c r="CDC35" s="39"/>
      <c r="CDD35" s="39"/>
      <c r="CDE35" s="39"/>
      <c r="CDF35" s="39"/>
      <c r="CDG35" s="39"/>
      <c r="CDH35" s="39"/>
      <c r="CDI35" s="39"/>
      <c r="CDJ35" s="39"/>
      <c r="CDK35" s="39"/>
      <c r="CDL35" s="39"/>
      <c r="CDM35" s="39"/>
      <c r="CDN35" s="39"/>
      <c r="CDO35" s="39"/>
      <c r="CDP35" s="39"/>
      <c r="CDQ35" s="39"/>
      <c r="CDR35" s="39"/>
      <c r="CDS35" s="39"/>
      <c r="CDT35" s="39"/>
      <c r="CDU35" s="39"/>
      <c r="CDV35" s="39"/>
      <c r="CDW35" s="39"/>
      <c r="CDX35" s="39"/>
      <c r="CDY35" s="39"/>
      <c r="CDZ35" s="39"/>
      <c r="CEA35" s="39"/>
      <c r="CEB35" s="39"/>
      <c r="CEC35" s="39"/>
      <c r="CED35" s="39"/>
      <c r="CEE35" s="39"/>
      <c r="CEF35" s="39"/>
      <c r="CEG35" s="39"/>
      <c r="CEH35" s="39"/>
      <c r="CEI35" s="39"/>
      <c r="CEJ35" s="39"/>
      <c r="CEK35" s="39"/>
      <c r="CEL35" s="39"/>
      <c r="CEM35" s="39"/>
      <c r="CEN35" s="39"/>
      <c r="CEO35" s="39"/>
      <c r="CEP35" s="39"/>
      <c r="CEQ35" s="39"/>
      <c r="CER35" s="39"/>
      <c r="CES35" s="39"/>
      <c r="CET35" s="39"/>
      <c r="CEU35" s="39"/>
      <c r="CEV35" s="39"/>
      <c r="CEW35" s="39"/>
      <c r="CEX35" s="39"/>
      <c r="CEY35" s="39"/>
      <c r="CEZ35" s="39"/>
      <c r="CFA35" s="39"/>
      <c r="CFB35" s="39"/>
      <c r="CFC35" s="39"/>
      <c r="CFD35" s="39"/>
      <c r="CFE35" s="39"/>
      <c r="CFF35" s="39"/>
      <c r="CFG35" s="39"/>
      <c r="CFH35" s="39"/>
      <c r="CFI35" s="39"/>
      <c r="CFJ35" s="39"/>
      <c r="CFK35" s="39"/>
      <c r="CFL35" s="39"/>
      <c r="CFM35" s="39"/>
      <c r="CFN35" s="39"/>
      <c r="CFO35" s="39"/>
      <c r="CFP35" s="39"/>
      <c r="CFQ35" s="39"/>
      <c r="CFR35" s="39"/>
      <c r="CFS35" s="39"/>
      <c r="CFT35" s="39"/>
      <c r="CFU35" s="39"/>
      <c r="CFV35" s="39"/>
      <c r="CFW35" s="39"/>
      <c r="CFX35" s="39"/>
      <c r="CFY35" s="39"/>
      <c r="CFZ35" s="39"/>
      <c r="CGA35" s="39"/>
      <c r="CGB35" s="39"/>
      <c r="CGC35" s="39"/>
      <c r="CGD35" s="39"/>
      <c r="CGE35" s="39"/>
      <c r="CGF35" s="39"/>
      <c r="CGG35" s="39"/>
      <c r="CGH35" s="39"/>
      <c r="CGI35" s="39"/>
      <c r="CGJ35" s="39"/>
      <c r="CGK35" s="39"/>
      <c r="CGL35" s="39"/>
      <c r="CGM35" s="39"/>
      <c r="CGN35" s="39"/>
      <c r="CGO35" s="39"/>
      <c r="CGP35" s="39"/>
      <c r="CGQ35" s="39"/>
      <c r="CGR35" s="39"/>
      <c r="CGS35" s="39"/>
      <c r="CGT35" s="39"/>
      <c r="CGU35" s="39"/>
      <c r="CGV35" s="39"/>
      <c r="CGW35" s="39"/>
      <c r="CGX35" s="39"/>
      <c r="CGY35" s="39"/>
      <c r="CGZ35" s="39"/>
      <c r="CHA35" s="39"/>
      <c r="CHB35" s="39"/>
      <c r="CHC35" s="39"/>
      <c r="CHD35" s="39"/>
      <c r="CHE35" s="39"/>
      <c r="CHF35" s="39"/>
      <c r="CHG35" s="39"/>
      <c r="CHH35" s="39"/>
      <c r="CHI35" s="39"/>
      <c r="CHJ35" s="39"/>
      <c r="CHK35" s="39"/>
      <c r="CHL35" s="39"/>
      <c r="CHM35" s="39"/>
      <c r="CHN35" s="39"/>
      <c r="CHO35" s="39"/>
      <c r="CHP35" s="39"/>
      <c r="CHQ35" s="39"/>
      <c r="CHR35" s="39"/>
      <c r="CHS35" s="39"/>
      <c r="CHT35" s="39"/>
      <c r="CHU35" s="39"/>
      <c r="CHV35" s="39"/>
      <c r="CHW35" s="39"/>
      <c r="CHX35" s="39"/>
      <c r="CHY35" s="39"/>
      <c r="CHZ35" s="39"/>
      <c r="CIA35" s="39"/>
      <c r="CIB35" s="39"/>
      <c r="CIC35" s="39"/>
      <c r="CID35" s="39"/>
      <c r="CIE35" s="39"/>
      <c r="CIF35" s="39"/>
      <c r="CIG35" s="39"/>
      <c r="CIH35" s="39"/>
      <c r="CII35" s="39"/>
      <c r="CIJ35" s="39"/>
      <c r="CIK35" s="39"/>
      <c r="CIL35" s="39"/>
      <c r="CIM35" s="39"/>
      <c r="CIN35" s="39"/>
      <c r="CIO35" s="39"/>
      <c r="CIP35" s="39"/>
      <c r="CIQ35" s="39"/>
      <c r="CIR35" s="39"/>
      <c r="CIS35" s="39"/>
      <c r="CIT35" s="39"/>
      <c r="CIU35" s="39"/>
      <c r="CIV35" s="39"/>
      <c r="CIW35" s="39"/>
      <c r="CIX35" s="39"/>
      <c r="CIY35" s="39"/>
      <c r="CIZ35" s="39"/>
      <c r="CJA35" s="39"/>
      <c r="CJB35" s="39"/>
      <c r="CJC35" s="39"/>
      <c r="CJD35" s="39"/>
      <c r="CJE35" s="39"/>
      <c r="CJF35" s="39"/>
      <c r="CJG35" s="39"/>
      <c r="CJH35" s="39"/>
      <c r="CJI35" s="39"/>
      <c r="CJJ35" s="39"/>
      <c r="CJK35" s="39"/>
      <c r="CJL35" s="39"/>
      <c r="CJM35" s="39"/>
      <c r="CJN35" s="39"/>
      <c r="CJO35" s="39"/>
      <c r="CJP35" s="39"/>
      <c r="CJQ35" s="39"/>
      <c r="CJR35" s="39"/>
      <c r="CJS35" s="39"/>
      <c r="CJT35" s="39"/>
      <c r="CJU35" s="39"/>
      <c r="CJV35" s="39"/>
      <c r="CJW35" s="39"/>
      <c r="CJX35" s="39"/>
      <c r="CJY35" s="39"/>
      <c r="CJZ35" s="39"/>
      <c r="CKA35" s="39"/>
      <c r="CKB35" s="39"/>
      <c r="CKC35" s="39"/>
      <c r="CKD35" s="39"/>
      <c r="CKE35" s="39"/>
      <c r="CKF35" s="39"/>
      <c r="CKG35" s="39"/>
      <c r="CKH35" s="39"/>
      <c r="CKI35" s="39"/>
      <c r="CKJ35" s="39"/>
      <c r="CKK35" s="39"/>
      <c r="CKL35" s="39"/>
      <c r="CKM35" s="39"/>
      <c r="CKN35" s="39"/>
      <c r="CKO35" s="39"/>
      <c r="CKP35" s="39"/>
      <c r="CKQ35" s="39"/>
      <c r="CKR35" s="39"/>
      <c r="CKS35" s="39"/>
      <c r="CKT35" s="39"/>
      <c r="CKU35" s="39"/>
      <c r="CKV35" s="39"/>
      <c r="CKW35" s="39"/>
      <c r="CKX35" s="39"/>
      <c r="CKY35" s="39"/>
      <c r="CKZ35" s="39"/>
      <c r="CLA35" s="39"/>
      <c r="CLB35" s="39"/>
      <c r="CLC35" s="39"/>
      <c r="CLD35" s="39"/>
      <c r="CLE35" s="39"/>
      <c r="CLF35" s="39"/>
      <c r="CLG35" s="39"/>
      <c r="CLH35" s="39"/>
      <c r="CLI35" s="39"/>
      <c r="CLJ35" s="39"/>
      <c r="CLK35" s="39"/>
      <c r="CLL35" s="39"/>
      <c r="CLM35" s="39"/>
      <c r="CLN35" s="39"/>
      <c r="CLO35" s="39"/>
      <c r="CLP35" s="39"/>
      <c r="CLQ35" s="39"/>
      <c r="CLR35" s="39"/>
      <c r="CLS35" s="39"/>
      <c r="CLT35" s="39"/>
      <c r="CLU35" s="39"/>
      <c r="CLV35" s="39"/>
      <c r="CLW35" s="39"/>
      <c r="CLX35" s="39"/>
      <c r="CLY35" s="39"/>
      <c r="CLZ35" s="39"/>
      <c r="CMA35" s="39"/>
      <c r="CMB35" s="39"/>
      <c r="CMC35" s="39"/>
      <c r="CMD35" s="39"/>
      <c r="CME35" s="39"/>
      <c r="CMF35" s="39"/>
      <c r="CMG35" s="39"/>
      <c r="CMH35" s="39"/>
      <c r="CMI35" s="39"/>
      <c r="CMJ35" s="39"/>
      <c r="CMK35" s="39"/>
      <c r="CML35" s="39"/>
      <c r="CMM35" s="39"/>
      <c r="CMN35" s="39"/>
      <c r="CMO35" s="39"/>
      <c r="CMP35" s="39"/>
      <c r="CMQ35" s="39"/>
      <c r="CMR35" s="39"/>
      <c r="CMS35" s="39"/>
      <c r="CMT35" s="39"/>
      <c r="CMU35" s="39"/>
      <c r="CMV35" s="39"/>
      <c r="CMW35" s="39"/>
      <c r="CMX35" s="39"/>
      <c r="CMY35" s="39"/>
      <c r="CMZ35" s="39"/>
      <c r="CNA35" s="39"/>
      <c r="CNB35" s="39"/>
      <c r="CNC35" s="39"/>
      <c r="CND35" s="39"/>
      <c r="CNE35" s="39"/>
      <c r="CNF35" s="39"/>
      <c r="CNG35" s="39"/>
      <c r="CNH35" s="39"/>
      <c r="CNI35" s="39"/>
      <c r="CNJ35" s="39"/>
      <c r="CNK35" s="39"/>
      <c r="CNL35" s="39"/>
      <c r="CNM35" s="39"/>
      <c r="CNN35" s="39"/>
      <c r="CNO35" s="39"/>
      <c r="CNP35" s="39"/>
      <c r="CNQ35" s="39"/>
      <c r="CNR35" s="39"/>
      <c r="CNS35" s="39"/>
      <c r="CNT35" s="39"/>
      <c r="CNU35" s="39"/>
      <c r="CNV35" s="39"/>
      <c r="CNW35" s="39"/>
      <c r="CNX35" s="39"/>
      <c r="CNY35" s="39"/>
      <c r="CNZ35" s="39"/>
      <c r="COA35" s="39"/>
      <c r="COB35" s="39"/>
      <c r="COC35" s="39"/>
      <c r="COD35" s="39"/>
      <c r="COE35" s="39"/>
      <c r="COF35" s="39"/>
      <c r="COG35" s="39"/>
      <c r="COH35" s="39"/>
      <c r="COI35" s="39"/>
      <c r="COJ35" s="39"/>
      <c r="COK35" s="39"/>
      <c r="COL35" s="39"/>
      <c r="COM35" s="39"/>
      <c r="CON35" s="39"/>
      <c r="COO35" s="39"/>
      <c r="COP35" s="39"/>
      <c r="COQ35" s="39"/>
      <c r="COR35" s="39"/>
      <c r="COS35" s="39"/>
      <c r="COT35" s="39"/>
      <c r="COU35" s="39"/>
      <c r="COV35" s="39"/>
      <c r="COW35" s="39"/>
      <c r="COX35" s="39"/>
      <c r="COY35" s="39"/>
      <c r="COZ35" s="39"/>
      <c r="CPA35" s="39"/>
      <c r="CPB35" s="39"/>
      <c r="CPC35" s="39"/>
      <c r="CPD35" s="39"/>
      <c r="CPE35" s="39"/>
      <c r="CPF35" s="39"/>
      <c r="CPG35" s="39"/>
      <c r="CPH35" s="39"/>
      <c r="CPI35" s="39"/>
      <c r="CPJ35" s="39"/>
      <c r="CPK35" s="39"/>
      <c r="CPL35" s="39"/>
      <c r="CPM35" s="39"/>
      <c r="CPN35" s="39"/>
      <c r="CPO35" s="39"/>
      <c r="CPP35" s="39"/>
      <c r="CPQ35" s="39"/>
      <c r="CPR35" s="39"/>
      <c r="CPS35" s="39"/>
      <c r="CPT35" s="39"/>
      <c r="CPU35" s="39"/>
      <c r="CPV35" s="39"/>
      <c r="CPW35" s="39"/>
      <c r="CPX35" s="39"/>
      <c r="CPY35" s="39"/>
      <c r="CPZ35" s="39"/>
      <c r="CQA35" s="39"/>
      <c r="CQB35" s="39"/>
      <c r="CQC35" s="39"/>
      <c r="CQD35" s="39"/>
      <c r="CQE35" s="39"/>
      <c r="CQF35" s="39"/>
      <c r="CQG35" s="39"/>
      <c r="CQH35" s="39"/>
      <c r="CQI35" s="39"/>
      <c r="CQJ35" s="39"/>
      <c r="CQK35" s="39"/>
      <c r="CQL35" s="39"/>
      <c r="CQM35" s="39"/>
      <c r="CQN35" s="39"/>
      <c r="CQO35" s="39"/>
      <c r="CQP35" s="39"/>
      <c r="CQQ35" s="39"/>
      <c r="CQR35" s="39"/>
      <c r="CQS35" s="39"/>
      <c r="CQT35" s="39"/>
      <c r="CQU35" s="39"/>
      <c r="CQV35" s="39"/>
      <c r="CQW35" s="39"/>
      <c r="CQX35" s="39"/>
      <c r="CQY35" s="39"/>
      <c r="CQZ35" s="39"/>
      <c r="CRA35" s="39"/>
      <c r="CRB35" s="39"/>
      <c r="CRC35" s="39"/>
      <c r="CRD35" s="39"/>
      <c r="CRE35" s="39"/>
      <c r="CRF35" s="39"/>
      <c r="CRG35" s="39"/>
      <c r="CRH35" s="39"/>
      <c r="CRI35" s="39"/>
      <c r="CRJ35" s="39"/>
      <c r="CRK35" s="39"/>
      <c r="CRL35" s="39"/>
      <c r="CRM35" s="39"/>
      <c r="CRN35" s="39"/>
      <c r="CRO35" s="39"/>
      <c r="CRP35" s="39"/>
      <c r="CRQ35" s="39"/>
      <c r="CRR35" s="39"/>
      <c r="CRS35" s="39"/>
      <c r="CRT35" s="39"/>
      <c r="CRU35" s="39"/>
      <c r="CRV35" s="39"/>
      <c r="CRW35" s="39"/>
      <c r="CRX35" s="39"/>
      <c r="CRY35" s="39"/>
      <c r="CRZ35" s="39"/>
      <c r="CSA35" s="39"/>
      <c r="CSB35" s="39"/>
      <c r="CSC35" s="39"/>
      <c r="CSD35" s="39"/>
      <c r="CSE35" s="39"/>
      <c r="CSF35" s="39"/>
      <c r="CSG35" s="39"/>
      <c r="CSH35" s="39"/>
      <c r="CSI35" s="39"/>
      <c r="CSJ35" s="39"/>
      <c r="CSK35" s="39"/>
      <c r="CSL35" s="39"/>
      <c r="CSM35" s="39"/>
      <c r="CSN35" s="39"/>
      <c r="CSO35" s="39"/>
      <c r="CSP35" s="39"/>
      <c r="CSQ35" s="39"/>
      <c r="CSR35" s="39"/>
      <c r="CSS35" s="39"/>
      <c r="CST35" s="39"/>
      <c r="CSU35" s="39"/>
      <c r="CSV35" s="39"/>
      <c r="CSW35" s="39"/>
      <c r="CSX35" s="39"/>
      <c r="CSY35" s="39"/>
      <c r="CSZ35" s="39"/>
      <c r="CTA35" s="39"/>
      <c r="CTB35" s="39"/>
      <c r="CTC35" s="39"/>
      <c r="CTD35" s="39"/>
      <c r="CTE35" s="39"/>
      <c r="CTF35" s="39"/>
      <c r="CTG35" s="39"/>
      <c r="CTH35" s="39"/>
      <c r="CTI35" s="39"/>
      <c r="CTJ35" s="39"/>
      <c r="CTK35" s="39"/>
      <c r="CTL35" s="39"/>
      <c r="CTM35" s="39"/>
      <c r="CTN35" s="39"/>
      <c r="CTO35" s="39"/>
      <c r="CTP35" s="39"/>
      <c r="CTQ35" s="39"/>
      <c r="CTR35" s="39"/>
      <c r="CTS35" s="39"/>
      <c r="CTT35" s="39"/>
      <c r="CTU35" s="39"/>
      <c r="CTV35" s="39"/>
      <c r="CTW35" s="39"/>
      <c r="CTX35" s="39"/>
      <c r="CTY35" s="39"/>
      <c r="CTZ35" s="39"/>
      <c r="CUA35" s="39"/>
      <c r="CUB35" s="39"/>
      <c r="CUC35" s="39"/>
      <c r="CUD35" s="39"/>
      <c r="CUE35" s="39"/>
      <c r="CUF35" s="39"/>
      <c r="CUG35" s="39"/>
      <c r="CUH35" s="39"/>
      <c r="CUI35" s="39"/>
      <c r="CUJ35" s="39"/>
      <c r="CUK35" s="39"/>
      <c r="CUL35" s="39"/>
      <c r="CUM35" s="39"/>
      <c r="CUN35" s="39"/>
      <c r="CUO35" s="39"/>
      <c r="CUP35" s="39"/>
      <c r="CUQ35" s="39"/>
      <c r="CUR35" s="39"/>
      <c r="CUS35" s="39"/>
      <c r="CUT35" s="39"/>
      <c r="CUU35" s="39"/>
      <c r="CUV35" s="39"/>
      <c r="CUW35" s="39"/>
      <c r="CUX35" s="39"/>
      <c r="CUY35" s="39"/>
      <c r="CUZ35" s="39"/>
      <c r="CVA35" s="39"/>
      <c r="CVB35" s="39"/>
      <c r="CVC35" s="39"/>
      <c r="CVD35" s="39"/>
      <c r="CVE35" s="39"/>
      <c r="CVF35" s="39"/>
      <c r="CVG35" s="39"/>
      <c r="CVH35" s="39"/>
      <c r="CVI35" s="39"/>
      <c r="CVJ35" s="39"/>
      <c r="CVK35" s="39"/>
      <c r="CVL35" s="39"/>
      <c r="CVM35" s="39"/>
      <c r="CVN35" s="39"/>
      <c r="CVO35" s="39"/>
      <c r="CVP35" s="39"/>
      <c r="CVQ35" s="39"/>
      <c r="CVR35" s="39"/>
      <c r="CVS35" s="39"/>
      <c r="CVT35" s="39"/>
      <c r="CVU35" s="39"/>
      <c r="CVV35" s="39"/>
      <c r="CVW35" s="39"/>
      <c r="CVX35" s="39"/>
      <c r="CVY35" s="39"/>
      <c r="CVZ35" s="39"/>
      <c r="CWA35" s="39"/>
      <c r="CWB35" s="39"/>
      <c r="CWC35" s="39"/>
      <c r="CWD35" s="39"/>
      <c r="CWE35" s="39"/>
      <c r="CWF35" s="39"/>
      <c r="CWG35" s="39"/>
      <c r="CWH35" s="39"/>
      <c r="CWI35" s="39"/>
      <c r="CWJ35" s="39"/>
      <c r="CWK35" s="39"/>
      <c r="CWL35" s="39"/>
      <c r="CWM35" s="39"/>
      <c r="CWN35" s="39"/>
      <c r="CWO35" s="39"/>
      <c r="CWP35" s="39"/>
      <c r="CWQ35" s="39"/>
      <c r="CWR35" s="39"/>
      <c r="CWS35" s="39"/>
      <c r="CWT35" s="39"/>
      <c r="CWU35" s="39"/>
      <c r="CWV35" s="39"/>
      <c r="CWW35" s="39"/>
      <c r="CWX35" s="39"/>
      <c r="CWY35" s="39"/>
      <c r="CWZ35" s="39"/>
      <c r="CXA35" s="39"/>
      <c r="CXB35" s="39"/>
      <c r="CXC35" s="39"/>
      <c r="CXD35" s="39"/>
      <c r="CXE35" s="39"/>
      <c r="CXF35" s="39"/>
      <c r="CXG35" s="39"/>
      <c r="CXH35" s="39"/>
      <c r="CXI35" s="39"/>
      <c r="CXJ35" s="39"/>
      <c r="CXK35" s="39"/>
      <c r="CXL35" s="39"/>
      <c r="CXM35" s="39"/>
      <c r="CXN35" s="39"/>
      <c r="CXO35" s="39"/>
      <c r="CXP35" s="39"/>
      <c r="CXQ35" s="39"/>
      <c r="CXR35" s="39"/>
      <c r="CXS35" s="39"/>
      <c r="CXT35" s="39"/>
      <c r="CXU35" s="39"/>
      <c r="CXV35" s="39"/>
      <c r="CXW35" s="39"/>
      <c r="CXX35" s="39"/>
      <c r="CXY35" s="39"/>
      <c r="CXZ35" s="39"/>
      <c r="CYA35" s="39"/>
      <c r="CYB35" s="39"/>
      <c r="CYC35" s="39"/>
      <c r="CYD35" s="39"/>
      <c r="CYE35" s="39"/>
      <c r="CYF35" s="39"/>
      <c r="CYG35" s="39"/>
      <c r="CYH35" s="39"/>
      <c r="CYI35" s="39"/>
      <c r="CYJ35" s="39"/>
      <c r="CYK35" s="39"/>
      <c r="CYL35" s="39"/>
      <c r="CYM35" s="39"/>
      <c r="CYN35" s="39"/>
      <c r="CYO35" s="39"/>
      <c r="CYP35" s="39"/>
      <c r="CYQ35" s="39"/>
      <c r="CYR35" s="39"/>
      <c r="CYS35" s="39"/>
      <c r="CYT35" s="39"/>
      <c r="CYU35" s="39"/>
      <c r="CYV35" s="39"/>
      <c r="CYW35" s="39"/>
      <c r="CYX35" s="39"/>
      <c r="CYY35" s="39"/>
      <c r="CYZ35" s="39"/>
      <c r="CZA35" s="39"/>
      <c r="CZB35" s="39"/>
      <c r="CZC35" s="39"/>
      <c r="CZD35" s="39"/>
      <c r="CZE35" s="39"/>
      <c r="CZF35" s="39"/>
      <c r="CZG35" s="39"/>
      <c r="CZH35" s="39"/>
      <c r="CZI35" s="39"/>
      <c r="CZJ35" s="39"/>
      <c r="CZK35" s="39"/>
      <c r="CZL35" s="39"/>
      <c r="CZM35" s="39"/>
      <c r="CZN35" s="39"/>
      <c r="CZO35" s="39"/>
      <c r="CZP35" s="39"/>
      <c r="CZQ35" s="39"/>
      <c r="CZR35" s="39"/>
      <c r="CZS35" s="39"/>
      <c r="CZT35" s="39"/>
      <c r="CZU35" s="39"/>
      <c r="CZV35" s="39"/>
      <c r="CZW35" s="39"/>
      <c r="CZX35" s="39"/>
      <c r="CZY35" s="39"/>
      <c r="CZZ35" s="39"/>
      <c r="DAA35" s="39"/>
      <c r="DAB35" s="39"/>
      <c r="DAC35" s="39"/>
      <c r="DAD35" s="39"/>
      <c r="DAE35" s="39"/>
      <c r="DAF35" s="39"/>
      <c r="DAG35" s="39"/>
      <c r="DAH35" s="39"/>
      <c r="DAI35" s="39"/>
      <c r="DAJ35" s="39"/>
      <c r="DAK35" s="39"/>
      <c r="DAL35" s="39"/>
      <c r="DAM35" s="39"/>
      <c r="DAN35" s="39"/>
      <c r="DAO35" s="39"/>
      <c r="DAP35" s="39"/>
      <c r="DAQ35" s="39"/>
      <c r="DAR35" s="39"/>
      <c r="DAS35" s="39"/>
      <c r="DAT35" s="39"/>
      <c r="DAU35" s="39"/>
      <c r="DAV35" s="39"/>
      <c r="DAW35" s="39"/>
      <c r="DAX35" s="39"/>
      <c r="DAY35" s="39"/>
      <c r="DAZ35" s="39"/>
      <c r="DBA35" s="39"/>
      <c r="DBB35" s="39"/>
      <c r="DBC35" s="39"/>
      <c r="DBD35" s="39"/>
      <c r="DBE35" s="39"/>
      <c r="DBF35" s="39"/>
      <c r="DBG35" s="39"/>
      <c r="DBH35" s="39"/>
      <c r="DBI35" s="39"/>
      <c r="DBJ35" s="39"/>
      <c r="DBK35" s="39"/>
      <c r="DBL35" s="39"/>
      <c r="DBM35" s="39"/>
      <c r="DBN35" s="39"/>
      <c r="DBO35" s="39"/>
      <c r="DBP35" s="39"/>
      <c r="DBQ35" s="39"/>
      <c r="DBR35" s="39"/>
      <c r="DBS35" s="39"/>
      <c r="DBT35" s="39"/>
      <c r="DBU35" s="39"/>
      <c r="DBV35" s="39"/>
      <c r="DBW35" s="39"/>
      <c r="DBX35" s="39"/>
      <c r="DBY35" s="39"/>
      <c r="DBZ35" s="39"/>
      <c r="DCA35" s="39"/>
      <c r="DCB35" s="39"/>
      <c r="DCC35" s="39"/>
      <c r="DCD35" s="39"/>
      <c r="DCE35" s="39"/>
      <c r="DCF35" s="39"/>
      <c r="DCG35" s="39"/>
      <c r="DCH35" s="39"/>
      <c r="DCI35" s="39"/>
      <c r="DCJ35" s="39"/>
      <c r="DCK35" s="39"/>
      <c r="DCL35" s="39"/>
      <c r="DCM35" s="39"/>
      <c r="DCN35" s="39"/>
      <c r="DCO35" s="39"/>
      <c r="DCP35" s="39"/>
      <c r="DCQ35" s="39"/>
      <c r="DCR35" s="39"/>
      <c r="DCS35" s="39"/>
      <c r="DCT35" s="39"/>
      <c r="DCU35" s="39"/>
      <c r="DCV35" s="39"/>
      <c r="DCW35" s="39"/>
      <c r="DCX35" s="39"/>
      <c r="DCY35" s="39"/>
      <c r="DCZ35" s="39"/>
      <c r="DDA35" s="39"/>
      <c r="DDB35" s="39"/>
      <c r="DDC35" s="39"/>
      <c r="DDD35" s="39"/>
      <c r="DDE35" s="39"/>
      <c r="DDF35" s="39"/>
      <c r="DDG35" s="39"/>
      <c r="DDH35" s="39"/>
      <c r="DDI35" s="39"/>
      <c r="DDJ35" s="39"/>
      <c r="DDK35" s="39"/>
      <c r="DDL35" s="39"/>
      <c r="DDM35" s="39"/>
      <c r="DDN35" s="39"/>
      <c r="DDO35" s="39"/>
      <c r="DDP35" s="39"/>
      <c r="DDQ35" s="39"/>
      <c r="DDR35" s="39"/>
      <c r="DDS35" s="39"/>
      <c r="DDT35" s="39"/>
      <c r="DDU35" s="39"/>
      <c r="DDV35" s="39"/>
      <c r="DDW35" s="39"/>
      <c r="DDX35" s="39"/>
      <c r="DDY35" s="39"/>
      <c r="DDZ35" s="39"/>
      <c r="DEA35" s="39"/>
      <c r="DEB35" s="39"/>
      <c r="DEC35" s="39"/>
      <c r="DED35" s="39"/>
      <c r="DEE35" s="39"/>
      <c r="DEF35" s="39"/>
      <c r="DEG35" s="39"/>
      <c r="DEH35" s="39"/>
      <c r="DEI35" s="39"/>
      <c r="DEJ35" s="39"/>
      <c r="DEK35" s="39"/>
      <c r="DEL35" s="39"/>
      <c r="DEM35" s="39"/>
      <c r="DEN35" s="39"/>
      <c r="DEO35" s="39"/>
      <c r="DEP35" s="39"/>
      <c r="DEQ35" s="39"/>
      <c r="DER35" s="39"/>
      <c r="DES35" s="39"/>
      <c r="DET35" s="39"/>
      <c r="DEU35" s="39"/>
      <c r="DEV35" s="39"/>
      <c r="DEW35" s="39"/>
      <c r="DEX35" s="39"/>
      <c r="DEY35" s="39"/>
      <c r="DEZ35" s="39"/>
      <c r="DFA35" s="39"/>
      <c r="DFB35" s="39"/>
      <c r="DFC35" s="39"/>
      <c r="DFD35" s="39"/>
      <c r="DFE35" s="39"/>
      <c r="DFF35" s="39"/>
      <c r="DFG35" s="39"/>
      <c r="DFH35" s="39"/>
      <c r="DFI35" s="39"/>
      <c r="DFJ35" s="39"/>
      <c r="DFK35" s="39"/>
      <c r="DFL35" s="39"/>
      <c r="DFM35" s="39"/>
      <c r="DFN35" s="39"/>
      <c r="DFO35" s="39"/>
      <c r="DFP35" s="39"/>
      <c r="DFQ35" s="39"/>
      <c r="DFR35" s="39"/>
      <c r="DFS35" s="39"/>
      <c r="DFT35" s="39"/>
      <c r="DFU35" s="39"/>
      <c r="DFV35" s="39"/>
      <c r="DFW35" s="39"/>
      <c r="DFX35" s="39"/>
      <c r="DFY35" s="39"/>
      <c r="DFZ35" s="39"/>
      <c r="DGA35" s="39"/>
      <c r="DGB35" s="39"/>
      <c r="DGC35" s="39"/>
      <c r="DGD35" s="39"/>
      <c r="DGE35" s="39"/>
      <c r="DGF35" s="39"/>
      <c r="DGG35" s="39"/>
      <c r="DGH35" s="39"/>
      <c r="DGI35" s="39"/>
      <c r="DGJ35" s="39"/>
      <c r="DGK35" s="39"/>
      <c r="DGL35" s="39"/>
      <c r="DGM35" s="39"/>
      <c r="DGN35" s="39"/>
      <c r="DGO35" s="39"/>
      <c r="DGP35" s="39"/>
      <c r="DGQ35" s="39"/>
      <c r="DGR35" s="39"/>
      <c r="DGS35" s="39"/>
      <c r="DGT35" s="39"/>
      <c r="DGU35" s="39"/>
      <c r="DGV35" s="39"/>
      <c r="DGW35" s="39"/>
      <c r="DGX35" s="39"/>
      <c r="DGY35" s="39"/>
      <c r="DGZ35" s="39"/>
      <c r="DHA35" s="39"/>
      <c r="DHB35" s="39"/>
      <c r="DHC35" s="39"/>
      <c r="DHD35" s="39"/>
      <c r="DHE35" s="39"/>
      <c r="DHF35" s="39"/>
      <c r="DHG35" s="39"/>
      <c r="DHH35" s="39"/>
      <c r="DHI35" s="39"/>
      <c r="DHJ35" s="39"/>
      <c r="DHK35" s="39"/>
      <c r="DHL35" s="39"/>
      <c r="DHM35" s="39"/>
      <c r="DHN35" s="39"/>
      <c r="DHO35" s="39"/>
      <c r="DHP35" s="39"/>
      <c r="DHQ35" s="39"/>
      <c r="DHR35" s="39"/>
      <c r="DHS35" s="39"/>
      <c r="DHT35" s="39"/>
      <c r="DHU35" s="39"/>
      <c r="DHV35" s="39"/>
      <c r="DHW35" s="39"/>
      <c r="DHX35" s="39"/>
      <c r="DHY35" s="39"/>
      <c r="DHZ35" s="39"/>
      <c r="DIA35" s="39"/>
      <c r="DIB35" s="39"/>
      <c r="DIC35" s="39"/>
      <c r="DID35" s="39"/>
      <c r="DIE35" s="39"/>
      <c r="DIF35" s="39"/>
      <c r="DIG35" s="39"/>
      <c r="DIH35" s="39"/>
      <c r="DII35" s="39"/>
      <c r="DIJ35" s="39"/>
      <c r="DIK35" s="39"/>
      <c r="DIL35" s="39"/>
      <c r="DIM35" s="39"/>
      <c r="DIN35" s="39"/>
      <c r="DIO35" s="39"/>
      <c r="DIP35" s="39"/>
      <c r="DIQ35" s="39"/>
      <c r="DIR35" s="39"/>
      <c r="DIS35" s="39"/>
      <c r="DIT35" s="39"/>
      <c r="DIU35" s="39"/>
      <c r="DIV35" s="39"/>
      <c r="DIW35" s="39"/>
      <c r="DIX35" s="39"/>
      <c r="DIY35" s="39"/>
      <c r="DIZ35" s="39"/>
      <c r="DJA35" s="39"/>
      <c r="DJB35" s="39"/>
      <c r="DJC35" s="39"/>
      <c r="DJD35" s="39"/>
      <c r="DJE35" s="39"/>
      <c r="DJF35" s="39"/>
      <c r="DJG35" s="39"/>
      <c r="DJH35" s="39"/>
      <c r="DJI35" s="39"/>
      <c r="DJJ35" s="39"/>
      <c r="DJK35" s="39"/>
      <c r="DJL35" s="39"/>
      <c r="DJM35" s="39"/>
      <c r="DJN35" s="39"/>
      <c r="DJO35" s="39"/>
      <c r="DJP35" s="39"/>
      <c r="DJQ35" s="39"/>
      <c r="DJR35" s="39"/>
      <c r="DJS35" s="39"/>
      <c r="DJT35" s="39"/>
      <c r="DJU35" s="39"/>
      <c r="DJV35" s="39"/>
      <c r="DJW35" s="39"/>
      <c r="DJX35" s="39"/>
      <c r="DJY35" s="39"/>
      <c r="DJZ35" s="39"/>
      <c r="DKA35" s="39"/>
      <c r="DKB35" s="39"/>
      <c r="DKC35" s="39"/>
      <c r="DKD35" s="39"/>
      <c r="DKE35" s="39"/>
      <c r="DKF35" s="39"/>
      <c r="DKG35" s="39"/>
      <c r="DKH35" s="39"/>
      <c r="DKI35" s="39"/>
      <c r="DKJ35" s="39"/>
      <c r="DKK35" s="39"/>
      <c r="DKL35" s="39"/>
      <c r="DKM35" s="39"/>
      <c r="DKN35" s="39"/>
      <c r="DKO35" s="39"/>
      <c r="DKP35" s="39"/>
      <c r="DKQ35" s="39"/>
      <c r="DKR35" s="39"/>
      <c r="DKS35" s="39"/>
      <c r="DKT35" s="39"/>
      <c r="DKU35" s="39"/>
      <c r="DKV35" s="39"/>
      <c r="DKW35" s="39"/>
      <c r="DKX35" s="39"/>
      <c r="DKY35" s="39"/>
      <c r="DKZ35" s="39"/>
      <c r="DLA35" s="39"/>
      <c r="DLB35" s="39"/>
      <c r="DLC35" s="39"/>
      <c r="DLD35" s="39"/>
      <c r="DLE35" s="39"/>
      <c r="DLF35" s="39"/>
      <c r="DLG35" s="39"/>
      <c r="DLH35" s="39"/>
      <c r="DLI35" s="39"/>
      <c r="DLJ35" s="39"/>
      <c r="DLK35" s="39"/>
      <c r="DLL35" s="39"/>
      <c r="DLM35" s="39"/>
      <c r="DLN35" s="39"/>
      <c r="DLO35" s="39"/>
      <c r="DLP35" s="39"/>
      <c r="DLQ35" s="39"/>
      <c r="DLR35" s="39"/>
      <c r="DLS35" s="39"/>
      <c r="DLT35" s="39"/>
      <c r="DLU35" s="39"/>
      <c r="DLV35" s="39"/>
      <c r="DLW35" s="39"/>
      <c r="DLX35" s="39"/>
      <c r="DLY35" s="39"/>
      <c r="DLZ35" s="39"/>
      <c r="DMA35" s="39"/>
      <c r="DMB35" s="39"/>
      <c r="DMC35" s="39"/>
      <c r="DMD35" s="39"/>
      <c r="DME35" s="39"/>
      <c r="DMF35" s="39"/>
      <c r="DMG35" s="39"/>
      <c r="DMH35" s="39"/>
      <c r="DMI35" s="39"/>
      <c r="DMJ35" s="39"/>
      <c r="DMK35" s="39"/>
      <c r="DML35" s="39"/>
      <c r="DMM35" s="39"/>
      <c r="DMN35" s="39"/>
      <c r="DMO35" s="39"/>
      <c r="DMP35" s="39"/>
      <c r="DMQ35" s="39"/>
      <c r="DMR35" s="39"/>
      <c r="DMS35" s="39"/>
      <c r="DMT35" s="39"/>
      <c r="DMU35" s="39"/>
      <c r="DMV35" s="39"/>
      <c r="DMW35" s="39"/>
      <c r="DMX35" s="39"/>
      <c r="DMY35" s="39"/>
      <c r="DMZ35" s="39"/>
      <c r="DNA35" s="39"/>
      <c r="DNB35" s="39"/>
      <c r="DNC35" s="39"/>
      <c r="DND35" s="39"/>
      <c r="DNE35" s="39"/>
      <c r="DNF35" s="39"/>
      <c r="DNG35" s="39"/>
      <c r="DNH35" s="39"/>
      <c r="DNI35" s="39"/>
      <c r="DNJ35" s="39"/>
      <c r="DNK35" s="39"/>
      <c r="DNL35" s="39"/>
      <c r="DNM35" s="39"/>
      <c r="DNN35" s="39"/>
      <c r="DNO35" s="39"/>
      <c r="DNP35" s="39"/>
      <c r="DNQ35" s="39"/>
      <c r="DNR35" s="39"/>
      <c r="DNS35" s="39"/>
      <c r="DNT35" s="39"/>
      <c r="DNU35" s="39"/>
      <c r="DNV35" s="39"/>
      <c r="DNW35" s="39"/>
      <c r="DNX35" s="39"/>
      <c r="DNY35" s="39"/>
      <c r="DNZ35" s="39"/>
      <c r="DOA35" s="39"/>
      <c r="DOB35" s="39"/>
      <c r="DOC35" s="39"/>
      <c r="DOD35" s="39"/>
      <c r="DOE35" s="39"/>
      <c r="DOF35" s="39"/>
      <c r="DOG35" s="39"/>
      <c r="DOH35" s="39"/>
      <c r="DOI35" s="39"/>
      <c r="DOJ35" s="39"/>
      <c r="DOK35" s="39"/>
      <c r="DOL35" s="39"/>
      <c r="DOM35" s="39"/>
      <c r="DON35" s="39"/>
      <c r="DOO35" s="39"/>
      <c r="DOP35" s="39"/>
      <c r="DOQ35" s="39"/>
      <c r="DOR35" s="39"/>
      <c r="DOS35" s="39"/>
      <c r="DOT35" s="39"/>
      <c r="DOU35" s="39"/>
      <c r="DOV35" s="39"/>
      <c r="DOW35" s="39"/>
      <c r="DOX35" s="39"/>
      <c r="DOY35" s="39"/>
      <c r="DOZ35" s="39"/>
      <c r="DPA35" s="39"/>
      <c r="DPB35" s="39"/>
      <c r="DPC35" s="39"/>
      <c r="DPD35" s="39"/>
      <c r="DPE35" s="39"/>
      <c r="DPF35" s="39"/>
      <c r="DPG35" s="39"/>
      <c r="DPH35" s="39"/>
      <c r="DPI35" s="39"/>
      <c r="DPJ35" s="39"/>
      <c r="DPK35" s="39"/>
      <c r="DPL35" s="39"/>
      <c r="DPM35" s="39"/>
      <c r="DPN35" s="39"/>
      <c r="DPO35" s="39"/>
      <c r="DPP35" s="39"/>
      <c r="DPQ35" s="39"/>
      <c r="DPR35" s="39"/>
      <c r="DPS35" s="39"/>
      <c r="DPT35" s="39"/>
      <c r="DPU35" s="39"/>
      <c r="DPV35" s="39"/>
      <c r="DPW35" s="39"/>
      <c r="DPX35" s="39"/>
      <c r="DPY35" s="39"/>
      <c r="DPZ35" s="39"/>
      <c r="DQA35" s="39"/>
      <c r="DQB35" s="39"/>
      <c r="DQC35" s="39"/>
      <c r="DQD35" s="39"/>
      <c r="DQE35" s="39"/>
      <c r="DQF35" s="39"/>
      <c r="DQG35" s="39"/>
      <c r="DQH35" s="39"/>
      <c r="DQI35" s="39"/>
      <c r="DQJ35" s="39"/>
      <c r="DQK35" s="39"/>
      <c r="DQL35" s="39"/>
      <c r="DQM35" s="39"/>
      <c r="DQN35" s="39"/>
      <c r="DQO35" s="39"/>
      <c r="DQP35" s="39"/>
      <c r="DQQ35" s="39"/>
      <c r="DQR35" s="39"/>
      <c r="DQS35" s="39"/>
      <c r="DQT35" s="39"/>
      <c r="DQU35" s="39"/>
      <c r="DQV35" s="39"/>
      <c r="DQW35" s="39"/>
      <c r="DQX35" s="39"/>
      <c r="DQY35" s="39"/>
      <c r="DQZ35" s="39"/>
      <c r="DRA35" s="39"/>
      <c r="DRB35" s="39"/>
      <c r="DRC35" s="39"/>
      <c r="DRD35" s="39"/>
      <c r="DRE35" s="39"/>
      <c r="DRF35" s="39"/>
      <c r="DRG35" s="39"/>
      <c r="DRH35" s="39"/>
      <c r="DRI35" s="39"/>
      <c r="DRJ35" s="39"/>
      <c r="DRK35" s="39"/>
      <c r="DRL35" s="39"/>
      <c r="DRM35" s="39"/>
      <c r="DRN35" s="39"/>
      <c r="DRO35" s="39"/>
      <c r="DRP35" s="39"/>
      <c r="DRQ35" s="39"/>
      <c r="DRR35" s="39"/>
      <c r="DRS35" s="39"/>
      <c r="DRT35" s="39"/>
      <c r="DRU35" s="39"/>
      <c r="DRV35" s="39"/>
      <c r="DRW35" s="39"/>
      <c r="DRX35" s="39"/>
      <c r="DRY35" s="39"/>
      <c r="DRZ35" s="39"/>
      <c r="DSA35" s="39"/>
      <c r="DSB35" s="39"/>
      <c r="DSC35" s="39"/>
      <c r="DSD35" s="39"/>
      <c r="DSE35" s="39"/>
      <c r="DSF35" s="39"/>
      <c r="DSG35" s="39"/>
      <c r="DSH35" s="39"/>
      <c r="DSI35" s="39"/>
      <c r="DSJ35" s="39"/>
      <c r="DSK35" s="39"/>
      <c r="DSL35" s="39"/>
      <c r="DSM35" s="39"/>
      <c r="DSN35" s="39"/>
      <c r="DSO35" s="39"/>
      <c r="DSP35" s="39"/>
      <c r="DSQ35" s="39"/>
      <c r="DSR35" s="39"/>
      <c r="DSS35" s="39"/>
      <c r="DST35" s="39"/>
      <c r="DSU35" s="39"/>
      <c r="DSV35" s="39"/>
      <c r="DSW35" s="39"/>
      <c r="DSX35" s="39"/>
      <c r="DSY35" s="39"/>
      <c r="DSZ35" s="39"/>
      <c r="DTA35" s="39"/>
      <c r="DTB35" s="39"/>
      <c r="DTC35" s="39"/>
      <c r="DTD35" s="39"/>
      <c r="DTE35" s="39"/>
      <c r="DTF35" s="39"/>
      <c r="DTG35" s="39"/>
      <c r="DTH35" s="39"/>
      <c r="DTI35" s="39"/>
      <c r="DTJ35" s="39"/>
      <c r="DTK35" s="39"/>
      <c r="DTL35" s="39"/>
      <c r="DTM35" s="39"/>
      <c r="DTN35" s="39"/>
      <c r="DTO35" s="39"/>
      <c r="DTP35" s="39"/>
      <c r="DTQ35" s="39"/>
      <c r="DTR35" s="39"/>
      <c r="DTS35" s="39"/>
      <c r="DTT35" s="39"/>
      <c r="DTU35" s="39"/>
      <c r="DTV35" s="39"/>
      <c r="DTW35" s="39"/>
      <c r="DTX35" s="39"/>
      <c r="DTY35" s="39"/>
      <c r="DTZ35" s="39"/>
      <c r="DUA35" s="39"/>
      <c r="DUB35" s="39"/>
      <c r="DUC35" s="39"/>
      <c r="DUD35" s="39"/>
      <c r="DUE35" s="39"/>
      <c r="DUF35" s="39"/>
      <c r="DUG35" s="39"/>
      <c r="DUH35" s="39"/>
      <c r="DUI35" s="39"/>
      <c r="DUJ35" s="39"/>
      <c r="DUK35" s="39"/>
      <c r="DUL35" s="39"/>
      <c r="DUM35" s="39"/>
      <c r="DUN35" s="39"/>
      <c r="DUO35" s="39"/>
      <c r="DUP35" s="39"/>
      <c r="DUQ35" s="39"/>
      <c r="DUR35" s="39"/>
      <c r="DUS35" s="39"/>
      <c r="DUT35" s="39"/>
      <c r="DUU35" s="39"/>
      <c r="DUV35" s="39"/>
      <c r="DUW35" s="39"/>
      <c r="DUX35" s="39"/>
      <c r="DUY35" s="39"/>
      <c r="DUZ35" s="39"/>
      <c r="DVA35" s="39"/>
      <c r="DVB35" s="39"/>
      <c r="DVC35" s="39"/>
      <c r="DVD35" s="39"/>
      <c r="DVE35" s="39"/>
      <c r="DVF35" s="39"/>
      <c r="DVG35" s="39"/>
      <c r="DVH35" s="39"/>
      <c r="DVI35" s="39"/>
      <c r="DVJ35" s="39"/>
      <c r="DVK35" s="39"/>
      <c r="DVL35" s="39"/>
      <c r="DVM35" s="39"/>
      <c r="DVN35" s="39"/>
      <c r="DVO35" s="39"/>
      <c r="DVP35" s="39"/>
      <c r="DVQ35" s="39"/>
      <c r="DVR35" s="39"/>
      <c r="DVS35" s="39"/>
      <c r="DVT35" s="39"/>
      <c r="DVU35" s="39"/>
      <c r="DVV35" s="39"/>
      <c r="DVW35" s="39"/>
      <c r="DVX35" s="39"/>
      <c r="DVY35" s="39"/>
      <c r="DVZ35" s="39"/>
      <c r="DWA35" s="39"/>
      <c r="DWB35" s="39"/>
      <c r="DWC35" s="39"/>
      <c r="DWD35" s="39"/>
      <c r="DWE35" s="39"/>
      <c r="DWF35" s="39"/>
      <c r="DWG35" s="39"/>
      <c r="DWH35" s="39"/>
      <c r="DWI35" s="39"/>
      <c r="DWJ35" s="39"/>
      <c r="DWK35" s="39"/>
      <c r="DWL35" s="39"/>
      <c r="DWM35" s="39"/>
      <c r="DWN35" s="39"/>
      <c r="DWO35" s="39"/>
      <c r="DWP35" s="39"/>
      <c r="DWQ35" s="39"/>
      <c r="DWR35" s="39"/>
      <c r="DWS35" s="39"/>
      <c r="DWT35" s="39"/>
      <c r="DWU35" s="39"/>
      <c r="DWV35" s="39"/>
      <c r="DWW35" s="39"/>
      <c r="DWX35" s="39"/>
      <c r="DWY35" s="39"/>
      <c r="DWZ35" s="39"/>
      <c r="DXA35" s="39"/>
      <c r="DXB35" s="39"/>
      <c r="DXC35" s="39"/>
      <c r="DXD35" s="39"/>
      <c r="DXE35" s="39"/>
      <c r="DXF35" s="39"/>
      <c r="DXG35" s="39"/>
      <c r="DXH35" s="39"/>
      <c r="DXI35" s="39"/>
      <c r="DXJ35" s="39"/>
      <c r="DXK35" s="39"/>
      <c r="DXL35" s="39"/>
      <c r="DXM35" s="39"/>
      <c r="DXN35" s="39"/>
      <c r="DXO35" s="39"/>
      <c r="DXP35" s="39"/>
      <c r="DXQ35" s="39"/>
      <c r="DXR35" s="39"/>
      <c r="DXS35" s="39"/>
      <c r="DXT35" s="39"/>
      <c r="DXU35" s="39"/>
      <c r="DXV35" s="39"/>
      <c r="DXW35" s="39"/>
      <c r="DXX35" s="39"/>
      <c r="DXY35" s="39"/>
      <c r="DXZ35" s="39"/>
      <c r="DYA35" s="39"/>
      <c r="DYB35" s="39"/>
      <c r="DYC35" s="39"/>
      <c r="DYD35" s="39"/>
      <c r="DYE35" s="39"/>
      <c r="DYF35" s="39"/>
      <c r="DYG35" s="39"/>
      <c r="DYH35" s="39"/>
      <c r="DYI35" s="39"/>
      <c r="DYJ35" s="39"/>
      <c r="DYK35" s="39"/>
      <c r="DYL35" s="39"/>
      <c r="DYM35" s="39"/>
      <c r="DYN35" s="39"/>
      <c r="DYO35" s="39"/>
      <c r="DYP35" s="39"/>
      <c r="DYQ35" s="39"/>
      <c r="DYR35" s="39"/>
      <c r="DYS35" s="39"/>
      <c r="DYT35" s="39"/>
      <c r="DYU35" s="39"/>
      <c r="DYV35" s="39"/>
      <c r="DYW35" s="39"/>
      <c r="DYX35" s="39"/>
      <c r="DYY35" s="39"/>
      <c r="DYZ35" s="39"/>
      <c r="DZA35" s="39"/>
      <c r="DZB35" s="39"/>
      <c r="DZC35" s="39"/>
      <c r="DZD35" s="39"/>
      <c r="DZE35" s="39"/>
      <c r="DZF35" s="39"/>
      <c r="DZG35" s="39"/>
      <c r="DZH35" s="39"/>
      <c r="DZI35" s="39"/>
      <c r="DZJ35" s="39"/>
      <c r="DZK35" s="39"/>
      <c r="DZL35" s="39"/>
      <c r="DZM35" s="39"/>
      <c r="DZN35" s="39"/>
      <c r="DZO35" s="39"/>
      <c r="DZP35" s="39"/>
      <c r="DZQ35" s="39"/>
      <c r="DZR35" s="39"/>
      <c r="DZS35" s="39"/>
      <c r="DZT35" s="39"/>
      <c r="DZU35" s="39"/>
      <c r="DZV35" s="39"/>
      <c r="DZW35" s="39"/>
      <c r="DZX35" s="39"/>
      <c r="DZY35" s="39"/>
      <c r="DZZ35" s="39"/>
      <c r="EAA35" s="39"/>
      <c r="EAB35" s="39"/>
      <c r="EAC35" s="39"/>
      <c r="EAD35" s="39"/>
      <c r="EAE35" s="39"/>
      <c r="EAF35" s="39"/>
      <c r="EAG35" s="39"/>
      <c r="EAH35" s="39"/>
      <c r="EAI35" s="39"/>
      <c r="EAJ35" s="39"/>
      <c r="EAK35" s="39"/>
      <c r="EAL35" s="39"/>
      <c r="EAM35" s="39"/>
      <c r="EAN35" s="39"/>
      <c r="EAO35" s="39"/>
      <c r="EAP35" s="39"/>
      <c r="EAQ35" s="39"/>
      <c r="EAR35" s="39"/>
      <c r="EAS35" s="39"/>
      <c r="EAT35" s="39"/>
      <c r="EAU35" s="39"/>
      <c r="EAV35" s="39"/>
      <c r="EAW35" s="39"/>
      <c r="EAX35" s="39"/>
      <c r="EAY35" s="39"/>
      <c r="EAZ35" s="39"/>
      <c r="EBA35" s="39"/>
      <c r="EBB35" s="39"/>
      <c r="EBC35" s="39"/>
      <c r="EBD35" s="39"/>
      <c r="EBE35" s="39"/>
      <c r="EBF35" s="39"/>
      <c r="EBG35" s="39"/>
      <c r="EBH35" s="39"/>
      <c r="EBI35" s="39"/>
      <c r="EBJ35" s="39"/>
      <c r="EBK35" s="39"/>
      <c r="EBL35" s="39"/>
      <c r="EBM35" s="39"/>
      <c r="EBN35" s="39"/>
      <c r="EBO35" s="39"/>
      <c r="EBP35" s="39"/>
      <c r="EBQ35" s="39"/>
      <c r="EBR35" s="39"/>
      <c r="EBS35" s="39"/>
      <c r="EBT35" s="39"/>
      <c r="EBU35" s="39"/>
      <c r="EBV35" s="39"/>
      <c r="EBW35" s="39"/>
      <c r="EBX35" s="39"/>
      <c r="EBY35" s="39"/>
      <c r="EBZ35" s="39"/>
      <c r="ECA35" s="39"/>
      <c r="ECB35" s="39"/>
      <c r="ECC35" s="39"/>
      <c r="ECD35" s="39"/>
      <c r="ECE35" s="39"/>
      <c r="ECF35" s="39"/>
      <c r="ECG35" s="39"/>
      <c r="ECH35" s="39"/>
      <c r="ECI35" s="39"/>
      <c r="ECJ35" s="39"/>
      <c r="ECK35" s="39"/>
      <c r="ECL35" s="39"/>
      <c r="ECM35" s="39"/>
      <c r="ECN35" s="39"/>
      <c r="ECO35" s="39"/>
      <c r="ECP35" s="39"/>
      <c r="ECQ35" s="39"/>
      <c r="ECR35" s="39"/>
      <c r="ECS35" s="39"/>
      <c r="ECT35" s="39"/>
      <c r="ECU35" s="39"/>
      <c r="ECV35" s="39"/>
      <c r="ECW35" s="39"/>
      <c r="ECX35" s="39"/>
      <c r="ECY35" s="39"/>
      <c r="ECZ35" s="39"/>
      <c r="EDA35" s="39"/>
      <c r="EDB35" s="39"/>
      <c r="EDC35" s="39"/>
      <c r="EDD35" s="39"/>
      <c r="EDE35" s="39"/>
      <c r="EDF35" s="39"/>
      <c r="EDG35" s="39"/>
      <c r="EDH35" s="39"/>
      <c r="EDI35" s="39"/>
      <c r="EDJ35" s="39"/>
      <c r="EDK35" s="39"/>
      <c r="EDL35" s="39"/>
      <c r="EDM35" s="39"/>
      <c r="EDN35" s="39"/>
      <c r="EDO35" s="39"/>
      <c r="EDP35" s="39"/>
      <c r="EDQ35" s="39"/>
      <c r="EDR35" s="39"/>
      <c r="EDS35" s="39"/>
      <c r="EDT35" s="39"/>
      <c r="EDU35" s="39"/>
      <c r="EDV35" s="39"/>
      <c r="EDW35" s="39"/>
      <c r="EDX35" s="39"/>
      <c r="EDY35" s="39"/>
      <c r="EDZ35" s="39"/>
      <c r="EEA35" s="39"/>
      <c r="EEB35" s="39"/>
      <c r="EEC35" s="39"/>
      <c r="EED35" s="39"/>
      <c r="EEE35" s="39"/>
      <c r="EEF35" s="39"/>
      <c r="EEG35" s="39"/>
      <c r="EEH35" s="39"/>
      <c r="EEI35" s="39"/>
      <c r="EEJ35" s="39"/>
      <c r="EEK35" s="39"/>
      <c r="EEL35" s="39"/>
      <c r="EEM35" s="39"/>
      <c r="EEN35" s="39"/>
      <c r="EEO35" s="39"/>
      <c r="EEP35" s="39"/>
      <c r="EEQ35" s="39"/>
      <c r="EER35" s="39"/>
      <c r="EES35" s="39"/>
      <c r="EET35" s="39"/>
      <c r="EEU35" s="39"/>
      <c r="EEV35" s="39"/>
      <c r="EEW35" s="39"/>
      <c r="EEX35" s="39"/>
      <c r="EEY35" s="39"/>
      <c r="EEZ35" s="39"/>
      <c r="EFA35" s="39"/>
      <c r="EFB35" s="39"/>
      <c r="EFC35" s="39"/>
      <c r="EFD35" s="39"/>
      <c r="EFE35" s="39"/>
      <c r="EFF35" s="39"/>
      <c r="EFG35" s="39"/>
      <c r="EFH35" s="39"/>
      <c r="EFI35" s="39"/>
      <c r="EFJ35" s="39"/>
      <c r="EFK35" s="39"/>
      <c r="EFL35" s="39"/>
      <c r="EFM35" s="39"/>
      <c r="EFN35" s="39"/>
      <c r="EFO35" s="39"/>
      <c r="EFP35" s="39"/>
      <c r="EFQ35" s="39"/>
      <c r="EFR35" s="39"/>
      <c r="EFS35" s="39"/>
      <c r="EFT35" s="39"/>
      <c r="EFU35" s="39"/>
      <c r="EFV35" s="39"/>
      <c r="EFW35" s="39"/>
      <c r="EFX35" s="39"/>
      <c r="EFY35" s="39"/>
      <c r="EFZ35" s="39"/>
      <c r="EGA35" s="39"/>
      <c r="EGB35" s="39"/>
      <c r="EGC35" s="39"/>
      <c r="EGD35" s="39"/>
      <c r="EGE35" s="39"/>
      <c r="EGF35" s="39"/>
      <c r="EGG35" s="39"/>
      <c r="EGH35" s="39"/>
      <c r="EGI35" s="39"/>
      <c r="EGJ35" s="39"/>
      <c r="EGK35" s="39"/>
      <c r="EGL35" s="39"/>
      <c r="EGM35" s="39"/>
      <c r="EGN35" s="39"/>
      <c r="EGO35" s="39"/>
      <c r="EGP35" s="39"/>
      <c r="EGQ35" s="39"/>
      <c r="EGR35" s="39"/>
      <c r="EGS35" s="39"/>
      <c r="EGT35" s="39"/>
      <c r="EGU35" s="39"/>
      <c r="EGV35" s="39"/>
      <c r="EGW35" s="39"/>
      <c r="EGX35" s="39"/>
      <c r="EGY35" s="39"/>
      <c r="EGZ35" s="39"/>
      <c r="EHA35" s="39"/>
      <c r="EHB35" s="39"/>
      <c r="EHC35" s="39"/>
      <c r="EHD35" s="39"/>
      <c r="EHE35" s="39"/>
      <c r="EHF35" s="39"/>
      <c r="EHG35" s="39"/>
      <c r="EHH35" s="39"/>
      <c r="EHI35" s="39"/>
      <c r="EHJ35" s="39"/>
      <c r="EHK35" s="39"/>
      <c r="EHL35" s="39"/>
      <c r="EHM35" s="39"/>
      <c r="EHN35" s="39"/>
      <c r="EHO35" s="39"/>
      <c r="EHP35" s="39"/>
      <c r="EHQ35" s="39"/>
      <c r="EHR35" s="39"/>
      <c r="EHS35" s="39"/>
      <c r="EHT35" s="39"/>
      <c r="EHU35" s="39"/>
      <c r="EHV35" s="39"/>
      <c r="EHW35" s="39"/>
      <c r="EHX35" s="39"/>
      <c r="EHY35" s="39"/>
      <c r="EHZ35" s="39"/>
      <c r="EIA35" s="39"/>
      <c r="EIB35" s="39"/>
      <c r="EIC35" s="39"/>
      <c r="EID35" s="39"/>
      <c r="EIE35" s="39"/>
      <c r="EIF35" s="39"/>
      <c r="EIG35" s="39"/>
      <c r="EIH35" s="39"/>
      <c r="EII35" s="39"/>
      <c r="EIJ35" s="39"/>
      <c r="EIK35" s="39"/>
      <c r="EIL35" s="39"/>
      <c r="EIM35" s="39"/>
      <c r="EIN35" s="39"/>
      <c r="EIO35" s="39"/>
      <c r="EIP35" s="39"/>
      <c r="EIQ35" s="39"/>
      <c r="EIR35" s="39"/>
      <c r="EIS35" s="39"/>
      <c r="EIT35" s="39"/>
      <c r="EIU35" s="39"/>
      <c r="EIV35" s="39"/>
      <c r="EIW35" s="39"/>
      <c r="EIX35" s="39"/>
      <c r="EIY35" s="39"/>
      <c r="EIZ35" s="39"/>
      <c r="EJA35" s="39"/>
      <c r="EJB35" s="39"/>
      <c r="EJC35" s="39"/>
      <c r="EJD35" s="39"/>
      <c r="EJE35" s="39"/>
      <c r="EJF35" s="39"/>
      <c r="EJG35" s="39"/>
      <c r="EJH35" s="39"/>
      <c r="EJI35" s="39"/>
      <c r="EJJ35" s="39"/>
      <c r="EJK35" s="39"/>
      <c r="EJL35" s="39"/>
      <c r="EJM35" s="39"/>
      <c r="EJN35" s="39"/>
      <c r="EJO35" s="39"/>
      <c r="EJP35" s="39"/>
      <c r="EJQ35" s="39"/>
      <c r="EJR35" s="39"/>
      <c r="EJS35" s="39"/>
      <c r="EJT35" s="39"/>
      <c r="EJU35" s="39"/>
      <c r="EJV35" s="39"/>
      <c r="EJW35" s="39"/>
      <c r="EJX35" s="39"/>
      <c r="EJY35" s="39"/>
      <c r="EJZ35" s="39"/>
      <c r="EKA35" s="39"/>
      <c r="EKB35" s="39"/>
      <c r="EKC35" s="39"/>
      <c r="EKD35" s="39"/>
      <c r="EKE35" s="39"/>
      <c r="EKF35" s="39"/>
      <c r="EKG35" s="39"/>
      <c r="EKH35" s="39"/>
      <c r="EKI35" s="39"/>
      <c r="EKJ35" s="39"/>
      <c r="EKK35" s="39"/>
      <c r="EKL35" s="39"/>
      <c r="EKM35" s="39"/>
      <c r="EKN35" s="39"/>
      <c r="EKO35" s="39"/>
      <c r="EKP35" s="39"/>
      <c r="EKQ35" s="39"/>
      <c r="EKR35" s="39"/>
      <c r="EKS35" s="39"/>
      <c r="EKT35" s="39"/>
      <c r="EKU35" s="39"/>
      <c r="EKV35" s="39"/>
      <c r="EKW35" s="39"/>
      <c r="EKX35" s="39"/>
      <c r="EKY35" s="39"/>
      <c r="EKZ35" s="39"/>
      <c r="ELA35" s="39"/>
      <c r="ELB35" s="39"/>
      <c r="ELC35" s="39"/>
      <c r="ELD35" s="39"/>
      <c r="ELE35" s="39"/>
      <c r="ELF35" s="39"/>
      <c r="ELG35" s="39"/>
      <c r="ELH35" s="39"/>
      <c r="ELI35" s="39"/>
      <c r="ELJ35" s="39"/>
      <c r="ELK35" s="39"/>
      <c r="ELL35" s="39"/>
      <c r="ELM35" s="39"/>
      <c r="ELN35" s="39"/>
      <c r="ELO35" s="39"/>
      <c r="ELP35" s="39"/>
      <c r="ELQ35" s="39"/>
      <c r="ELR35" s="39"/>
      <c r="ELS35" s="39"/>
      <c r="ELT35" s="39"/>
      <c r="ELU35" s="39"/>
      <c r="ELV35" s="39"/>
      <c r="ELW35" s="39"/>
      <c r="ELX35" s="39"/>
      <c r="ELY35" s="39"/>
      <c r="ELZ35" s="39"/>
      <c r="EMA35" s="39"/>
      <c r="EMB35" s="39"/>
      <c r="EMC35" s="39"/>
      <c r="EMD35" s="39"/>
      <c r="EME35" s="39"/>
      <c r="EMF35" s="39"/>
      <c r="EMG35" s="39"/>
      <c r="EMH35" s="39"/>
      <c r="EMI35" s="39"/>
      <c r="EMJ35" s="39"/>
      <c r="EMK35" s="39"/>
      <c r="EML35" s="39"/>
      <c r="EMM35" s="39"/>
      <c r="EMN35" s="39"/>
      <c r="EMO35" s="39"/>
      <c r="EMP35" s="39"/>
      <c r="EMQ35" s="39"/>
      <c r="EMR35" s="39"/>
      <c r="EMS35" s="39"/>
      <c r="EMT35" s="39"/>
      <c r="EMU35" s="39"/>
      <c r="EMV35" s="39"/>
      <c r="EMW35" s="39"/>
      <c r="EMX35" s="39"/>
      <c r="EMY35" s="39"/>
      <c r="EMZ35" s="39"/>
      <c r="ENA35" s="39"/>
      <c r="ENB35" s="39"/>
      <c r="ENC35" s="39"/>
      <c r="END35" s="39"/>
      <c r="ENE35" s="39"/>
      <c r="ENF35" s="39"/>
      <c r="ENG35" s="39"/>
      <c r="ENH35" s="39"/>
      <c r="ENI35" s="39"/>
      <c r="ENJ35" s="39"/>
      <c r="ENK35" s="39"/>
      <c r="ENL35" s="39"/>
      <c r="ENM35" s="39"/>
      <c r="ENN35" s="39"/>
      <c r="ENO35" s="39"/>
      <c r="ENP35" s="39"/>
      <c r="ENQ35" s="39"/>
      <c r="ENR35" s="39"/>
      <c r="ENS35" s="39"/>
      <c r="ENT35" s="39"/>
      <c r="ENU35" s="39"/>
      <c r="ENV35" s="39"/>
      <c r="ENW35" s="39"/>
      <c r="ENX35" s="39"/>
      <c r="ENY35" s="39"/>
      <c r="ENZ35" s="39"/>
      <c r="EOA35" s="39"/>
      <c r="EOB35" s="39"/>
      <c r="EOC35" s="39"/>
      <c r="EOD35" s="39"/>
      <c r="EOE35" s="39"/>
      <c r="EOF35" s="39"/>
      <c r="EOG35" s="39"/>
      <c r="EOH35" s="39"/>
      <c r="EOI35" s="39"/>
      <c r="EOJ35" s="39"/>
      <c r="EOK35" s="39"/>
      <c r="EOL35" s="39"/>
      <c r="EOM35" s="39"/>
      <c r="EON35" s="39"/>
      <c r="EOO35" s="39"/>
      <c r="EOP35" s="39"/>
      <c r="EOQ35" s="39"/>
      <c r="EOR35" s="39"/>
      <c r="EOS35" s="39"/>
      <c r="EOT35" s="39"/>
      <c r="EOU35" s="39"/>
      <c r="EOV35" s="39"/>
      <c r="EOW35" s="39"/>
      <c r="EOX35" s="39"/>
      <c r="EOY35" s="39"/>
      <c r="EOZ35" s="39"/>
      <c r="EPA35" s="39"/>
      <c r="EPB35" s="39"/>
      <c r="EPC35" s="39"/>
      <c r="EPD35" s="39"/>
      <c r="EPE35" s="39"/>
      <c r="EPF35" s="39"/>
      <c r="EPG35" s="39"/>
      <c r="EPH35" s="39"/>
      <c r="EPI35" s="39"/>
      <c r="EPJ35" s="39"/>
      <c r="EPK35" s="39"/>
      <c r="EPL35" s="39"/>
      <c r="EPM35" s="39"/>
      <c r="EPN35" s="39"/>
      <c r="EPO35" s="39"/>
      <c r="EPP35" s="39"/>
      <c r="EPQ35" s="39"/>
      <c r="EPR35" s="39"/>
      <c r="EPS35" s="39"/>
      <c r="EPT35" s="39"/>
      <c r="EPU35" s="39"/>
      <c r="EPV35" s="39"/>
      <c r="EPW35" s="39"/>
      <c r="EPX35" s="39"/>
      <c r="EPY35" s="39"/>
      <c r="EPZ35" s="39"/>
      <c r="EQA35" s="39"/>
      <c r="EQB35" s="39"/>
      <c r="EQC35" s="39"/>
      <c r="EQD35" s="39"/>
      <c r="EQE35" s="39"/>
      <c r="EQF35" s="39"/>
      <c r="EQG35" s="39"/>
      <c r="EQH35" s="39"/>
      <c r="EQI35" s="39"/>
      <c r="EQJ35" s="39"/>
      <c r="EQK35" s="39"/>
      <c r="EQL35" s="39"/>
      <c r="EQM35" s="39"/>
      <c r="EQN35" s="39"/>
      <c r="EQO35" s="39"/>
      <c r="EQP35" s="39"/>
      <c r="EQQ35" s="39"/>
      <c r="EQR35" s="39"/>
      <c r="EQS35" s="39"/>
      <c r="EQT35" s="39"/>
      <c r="EQU35" s="39"/>
      <c r="EQV35" s="39"/>
      <c r="EQW35" s="39"/>
      <c r="EQX35" s="39"/>
      <c r="EQY35" s="39"/>
      <c r="EQZ35" s="39"/>
      <c r="ERA35" s="39"/>
      <c r="ERB35" s="39"/>
      <c r="ERC35" s="39"/>
      <c r="ERD35" s="39"/>
      <c r="ERE35" s="39"/>
      <c r="ERF35" s="39"/>
      <c r="ERG35" s="39"/>
      <c r="ERH35" s="39"/>
      <c r="ERI35" s="39"/>
      <c r="ERJ35" s="39"/>
      <c r="ERK35" s="39"/>
      <c r="ERL35" s="39"/>
      <c r="ERM35" s="39"/>
      <c r="ERN35" s="39"/>
      <c r="ERO35" s="39"/>
      <c r="ERP35" s="39"/>
      <c r="ERQ35" s="39"/>
      <c r="ERR35" s="39"/>
      <c r="ERS35" s="39"/>
      <c r="ERT35" s="39"/>
      <c r="ERU35" s="39"/>
      <c r="ERV35" s="39"/>
      <c r="ERW35" s="39"/>
      <c r="ERX35" s="39"/>
      <c r="ERY35" s="39"/>
      <c r="ERZ35" s="39"/>
      <c r="ESA35" s="39"/>
      <c r="ESB35" s="39"/>
      <c r="ESC35" s="39"/>
      <c r="ESD35" s="39"/>
      <c r="ESE35" s="39"/>
      <c r="ESF35" s="39"/>
      <c r="ESG35" s="39"/>
      <c r="ESH35" s="39"/>
      <c r="ESI35" s="39"/>
      <c r="ESJ35" s="39"/>
      <c r="ESK35" s="39"/>
      <c r="ESL35" s="39"/>
      <c r="ESM35" s="39"/>
      <c r="ESN35" s="39"/>
      <c r="ESO35" s="39"/>
      <c r="ESP35" s="39"/>
      <c r="ESQ35" s="39"/>
      <c r="ESR35" s="39"/>
      <c r="ESS35" s="39"/>
      <c r="EST35" s="39"/>
      <c r="ESU35" s="39"/>
      <c r="ESV35" s="39"/>
      <c r="ESW35" s="39"/>
      <c r="ESX35" s="39"/>
      <c r="ESY35" s="39"/>
      <c r="ESZ35" s="39"/>
      <c r="ETA35" s="39"/>
      <c r="ETB35" s="39"/>
      <c r="ETC35" s="39"/>
      <c r="ETD35" s="39"/>
      <c r="ETE35" s="39"/>
      <c r="ETF35" s="39"/>
      <c r="ETG35" s="39"/>
      <c r="ETH35" s="39"/>
      <c r="ETI35" s="39"/>
      <c r="ETJ35" s="39"/>
      <c r="ETK35" s="39"/>
      <c r="ETL35" s="39"/>
      <c r="ETM35" s="39"/>
      <c r="ETN35" s="39"/>
      <c r="ETO35" s="39"/>
      <c r="ETP35" s="39"/>
      <c r="ETQ35" s="39"/>
      <c r="ETR35" s="39"/>
      <c r="ETS35" s="39"/>
      <c r="ETT35" s="39"/>
      <c r="ETU35" s="39"/>
      <c r="ETV35" s="39"/>
      <c r="ETW35" s="39"/>
      <c r="ETX35" s="39"/>
      <c r="ETY35" s="39"/>
      <c r="ETZ35" s="39"/>
      <c r="EUA35" s="39"/>
      <c r="EUB35" s="39"/>
      <c r="EUC35" s="39"/>
      <c r="EUD35" s="39"/>
      <c r="EUE35" s="39"/>
      <c r="EUF35" s="39"/>
      <c r="EUG35" s="39"/>
      <c r="EUH35" s="39"/>
      <c r="EUI35" s="39"/>
      <c r="EUJ35" s="39"/>
      <c r="EUK35" s="39"/>
      <c r="EUL35" s="39"/>
      <c r="EUM35" s="39"/>
      <c r="EUN35" s="39"/>
      <c r="EUO35" s="39"/>
      <c r="EUP35" s="39"/>
      <c r="EUQ35" s="39"/>
      <c r="EUR35" s="39"/>
      <c r="EUS35" s="39"/>
      <c r="EUT35" s="39"/>
      <c r="EUU35" s="39"/>
      <c r="EUV35" s="39"/>
      <c r="EUW35" s="39"/>
      <c r="EUX35" s="39"/>
      <c r="EUY35" s="39"/>
      <c r="EUZ35" s="39"/>
      <c r="EVA35" s="39"/>
      <c r="EVB35" s="39"/>
      <c r="EVC35" s="39"/>
      <c r="EVD35" s="39"/>
      <c r="EVE35" s="39"/>
      <c r="EVF35" s="39"/>
      <c r="EVG35" s="39"/>
      <c r="EVH35" s="39"/>
      <c r="EVI35" s="39"/>
      <c r="EVJ35" s="39"/>
      <c r="EVK35" s="39"/>
      <c r="EVL35" s="39"/>
      <c r="EVM35" s="39"/>
      <c r="EVN35" s="39"/>
      <c r="EVO35" s="39"/>
      <c r="EVP35" s="39"/>
      <c r="EVQ35" s="39"/>
      <c r="EVR35" s="39"/>
      <c r="EVS35" s="39"/>
      <c r="EVT35" s="39"/>
      <c r="EVU35" s="39"/>
      <c r="EVV35" s="39"/>
      <c r="EVW35" s="39"/>
      <c r="EVX35" s="39"/>
      <c r="EVY35" s="39"/>
      <c r="EVZ35" s="39"/>
      <c r="EWA35" s="39"/>
      <c r="EWB35" s="39"/>
      <c r="EWC35" s="39"/>
      <c r="EWD35" s="39"/>
      <c r="EWE35" s="39"/>
      <c r="EWF35" s="39"/>
      <c r="EWG35" s="39"/>
      <c r="EWH35" s="39"/>
      <c r="EWI35" s="39"/>
      <c r="EWJ35" s="39"/>
      <c r="EWK35" s="39"/>
      <c r="EWL35" s="39"/>
      <c r="EWM35" s="39"/>
      <c r="EWN35" s="39"/>
      <c r="EWO35" s="39"/>
      <c r="EWP35" s="39"/>
      <c r="EWQ35" s="39"/>
      <c r="EWR35" s="39"/>
      <c r="EWS35" s="39"/>
      <c r="EWT35" s="39"/>
      <c r="EWU35" s="39"/>
      <c r="EWV35" s="39"/>
      <c r="EWW35" s="39"/>
      <c r="EWX35" s="39"/>
      <c r="EWY35" s="39"/>
      <c r="EWZ35" s="39"/>
      <c r="EXA35" s="39"/>
      <c r="EXB35" s="39"/>
      <c r="EXC35" s="39"/>
      <c r="EXD35" s="39"/>
      <c r="EXE35" s="39"/>
      <c r="EXF35" s="39"/>
      <c r="EXG35" s="39"/>
      <c r="EXH35" s="39"/>
      <c r="EXI35" s="39"/>
      <c r="EXJ35" s="39"/>
      <c r="EXK35" s="39"/>
      <c r="EXL35" s="39"/>
      <c r="EXM35" s="39"/>
      <c r="EXN35" s="39"/>
      <c r="EXO35" s="39"/>
      <c r="EXP35" s="39"/>
      <c r="EXQ35" s="39"/>
      <c r="EXR35" s="39"/>
      <c r="EXS35" s="39"/>
      <c r="EXT35" s="39"/>
      <c r="EXU35" s="39"/>
      <c r="EXV35" s="39"/>
      <c r="EXW35" s="39"/>
      <c r="EXX35" s="39"/>
      <c r="EXY35" s="39"/>
      <c r="EXZ35" s="39"/>
      <c r="EYA35" s="39"/>
      <c r="EYB35" s="39"/>
      <c r="EYC35" s="39"/>
      <c r="EYD35" s="39"/>
      <c r="EYE35" s="39"/>
      <c r="EYF35" s="39"/>
      <c r="EYG35" s="39"/>
      <c r="EYH35" s="39"/>
      <c r="EYI35" s="39"/>
      <c r="EYJ35" s="39"/>
      <c r="EYK35" s="39"/>
      <c r="EYL35" s="39"/>
      <c r="EYM35" s="39"/>
      <c r="EYN35" s="39"/>
      <c r="EYO35" s="39"/>
      <c r="EYP35" s="39"/>
      <c r="EYQ35" s="39"/>
      <c r="EYR35" s="39"/>
      <c r="EYS35" s="39"/>
      <c r="EYT35" s="39"/>
      <c r="EYU35" s="39"/>
      <c r="EYV35" s="39"/>
      <c r="EYW35" s="39"/>
      <c r="EYX35" s="39"/>
      <c r="EYY35" s="39"/>
      <c r="EYZ35" s="39"/>
      <c r="EZA35" s="39"/>
      <c r="EZB35" s="39"/>
      <c r="EZC35" s="39"/>
      <c r="EZD35" s="39"/>
      <c r="EZE35" s="39"/>
      <c r="EZF35" s="39"/>
      <c r="EZG35" s="39"/>
      <c r="EZH35" s="39"/>
      <c r="EZI35" s="39"/>
      <c r="EZJ35" s="39"/>
      <c r="EZK35" s="39"/>
      <c r="EZL35" s="39"/>
      <c r="EZM35" s="39"/>
      <c r="EZN35" s="39"/>
      <c r="EZO35" s="39"/>
      <c r="EZP35" s="39"/>
      <c r="EZQ35" s="39"/>
      <c r="EZR35" s="39"/>
      <c r="EZS35" s="39"/>
      <c r="EZT35" s="39"/>
      <c r="EZU35" s="39"/>
      <c r="EZV35" s="39"/>
      <c r="EZW35" s="39"/>
      <c r="EZX35" s="39"/>
      <c r="EZY35" s="39"/>
      <c r="EZZ35" s="39"/>
      <c r="FAA35" s="39"/>
      <c r="FAB35" s="39"/>
      <c r="FAC35" s="39"/>
      <c r="FAD35" s="39"/>
      <c r="FAE35" s="39"/>
      <c r="FAF35" s="39"/>
      <c r="FAG35" s="39"/>
      <c r="FAH35" s="39"/>
      <c r="FAI35" s="39"/>
      <c r="FAJ35" s="39"/>
      <c r="FAK35" s="39"/>
      <c r="FAL35" s="39"/>
      <c r="FAM35" s="39"/>
      <c r="FAN35" s="39"/>
      <c r="FAO35" s="39"/>
      <c r="FAP35" s="39"/>
      <c r="FAQ35" s="39"/>
      <c r="FAR35" s="39"/>
      <c r="FAS35" s="39"/>
      <c r="FAT35" s="39"/>
      <c r="FAU35" s="39"/>
      <c r="FAV35" s="39"/>
      <c r="FAW35" s="39"/>
      <c r="FAX35" s="39"/>
      <c r="FAY35" s="39"/>
      <c r="FAZ35" s="39"/>
      <c r="FBA35" s="39"/>
      <c r="FBB35" s="39"/>
      <c r="FBC35" s="39"/>
      <c r="FBD35" s="39"/>
      <c r="FBE35" s="39"/>
      <c r="FBF35" s="39"/>
      <c r="FBG35" s="39"/>
      <c r="FBH35" s="39"/>
      <c r="FBI35" s="39"/>
      <c r="FBJ35" s="39"/>
      <c r="FBK35" s="39"/>
      <c r="FBL35" s="39"/>
      <c r="FBM35" s="39"/>
      <c r="FBN35" s="39"/>
      <c r="FBO35" s="39"/>
      <c r="FBP35" s="39"/>
      <c r="FBQ35" s="39"/>
      <c r="FBR35" s="39"/>
      <c r="FBS35" s="39"/>
      <c r="FBT35" s="39"/>
      <c r="FBU35" s="39"/>
      <c r="FBV35" s="39"/>
      <c r="FBW35" s="39"/>
      <c r="FBX35" s="39"/>
      <c r="FBY35" s="39"/>
      <c r="FBZ35" s="39"/>
      <c r="FCA35" s="39"/>
      <c r="FCB35" s="39"/>
      <c r="FCC35" s="39"/>
      <c r="FCD35" s="39"/>
      <c r="FCE35" s="39"/>
      <c r="FCF35" s="39"/>
      <c r="FCG35" s="39"/>
      <c r="FCH35" s="39"/>
      <c r="FCI35" s="39"/>
      <c r="FCJ35" s="39"/>
      <c r="FCK35" s="39"/>
      <c r="FCL35" s="39"/>
      <c r="FCM35" s="39"/>
      <c r="FCN35" s="39"/>
      <c r="FCO35" s="39"/>
      <c r="FCP35" s="39"/>
      <c r="FCQ35" s="39"/>
      <c r="FCR35" s="39"/>
      <c r="FCS35" s="39"/>
      <c r="FCT35" s="39"/>
      <c r="FCU35" s="39"/>
      <c r="FCV35" s="39"/>
      <c r="FCW35" s="39"/>
      <c r="FCX35" s="39"/>
      <c r="FCY35" s="39"/>
      <c r="FCZ35" s="39"/>
      <c r="FDA35" s="39"/>
      <c r="FDB35" s="39"/>
      <c r="FDC35" s="39"/>
      <c r="FDD35" s="39"/>
      <c r="FDE35" s="39"/>
      <c r="FDF35" s="39"/>
      <c r="FDG35" s="39"/>
      <c r="FDH35" s="39"/>
      <c r="FDI35" s="39"/>
      <c r="FDJ35" s="39"/>
      <c r="FDK35" s="39"/>
      <c r="FDL35" s="39"/>
      <c r="FDM35" s="39"/>
      <c r="FDN35" s="39"/>
      <c r="FDO35" s="39"/>
      <c r="FDP35" s="39"/>
      <c r="FDQ35" s="39"/>
      <c r="FDR35" s="39"/>
      <c r="FDS35" s="39"/>
      <c r="FDT35" s="39"/>
      <c r="FDU35" s="39"/>
      <c r="FDV35" s="39"/>
      <c r="FDW35" s="39"/>
      <c r="FDX35" s="39"/>
      <c r="FDY35" s="39"/>
      <c r="FDZ35" s="39"/>
      <c r="FEA35" s="39"/>
      <c r="FEB35" s="39"/>
      <c r="FEC35" s="39"/>
      <c r="FED35" s="39"/>
      <c r="FEE35" s="39"/>
      <c r="FEF35" s="39"/>
      <c r="FEG35" s="39"/>
      <c r="FEH35" s="39"/>
      <c r="FEI35" s="39"/>
      <c r="FEJ35" s="39"/>
      <c r="FEK35" s="39"/>
      <c r="FEL35" s="39"/>
      <c r="FEM35" s="39"/>
      <c r="FEN35" s="39"/>
      <c r="FEO35" s="39"/>
      <c r="FEP35" s="39"/>
      <c r="FEQ35" s="39"/>
      <c r="FER35" s="39"/>
      <c r="FES35" s="39"/>
      <c r="FET35" s="39"/>
      <c r="FEU35" s="39"/>
      <c r="FEV35" s="39"/>
      <c r="FEW35" s="39"/>
      <c r="FEX35" s="39"/>
      <c r="FEY35" s="39"/>
      <c r="FEZ35" s="39"/>
      <c r="FFA35" s="39"/>
      <c r="FFB35" s="39"/>
      <c r="FFC35" s="39"/>
      <c r="FFD35" s="39"/>
      <c r="FFE35" s="39"/>
      <c r="FFF35" s="39"/>
      <c r="FFG35" s="39"/>
      <c r="FFH35" s="39"/>
      <c r="FFI35" s="39"/>
      <c r="FFJ35" s="39"/>
      <c r="FFK35" s="39"/>
      <c r="FFL35" s="39"/>
      <c r="FFM35" s="39"/>
      <c r="FFN35" s="39"/>
      <c r="FFO35" s="39"/>
      <c r="FFP35" s="39"/>
      <c r="FFQ35" s="39"/>
      <c r="FFR35" s="39"/>
      <c r="FFS35" s="39"/>
      <c r="FFT35" s="39"/>
      <c r="FFU35" s="39"/>
      <c r="FFV35" s="39"/>
      <c r="FFW35" s="39"/>
      <c r="FFX35" s="39"/>
      <c r="FFY35" s="39"/>
      <c r="FFZ35" s="39"/>
      <c r="FGA35" s="39"/>
      <c r="FGB35" s="39"/>
      <c r="FGC35" s="39"/>
      <c r="FGD35" s="39"/>
      <c r="FGE35" s="39"/>
      <c r="FGF35" s="39"/>
      <c r="FGG35" s="39"/>
      <c r="FGH35" s="39"/>
      <c r="FGI35" s="39"/>
      <c r="FGJ35" s="39"/>
      <c r="FGK35" s="39"/>
      <c r="FGL35" s="39"/>
      <c r="FGM35" s="39"/>
      <c r="FGN35" s="39"/>
      <c r="FGO35" s="39"/>
      <c r="FGP35" s="39"/>
      <c r="FGQ35" s="39"/>
      <c r="FGR35" s="39"/>
      <c r="FGS35" s="39"/>
      <c r="FGT35" s="39"/>
      <c r="FGU35" s="39"/>
      <c r="FGV35" s="39"/>
      <c r="FGW35" s="39"/>
      <c r="FGX35" s="39"/>
      <c r="FGY35" s="39"/>
      <c r="FGZ35" s="39"/>
      <c r="FHA35" s="39"/>
      <c r="FHB35" s="39"/>
      <c r="FHC35" s="39"/>
      <c r="FHD35" s="39"/>
      <c r="FHE35" s="39"/>
      <c r="FHF35" s="39"/>
      <c r="FHG35" s="39"/>
      <c r="FHH35" s="39"/>
      <c r="FHI35" s="39"/>
      <c r="FHJ35" s="39"/>
      <c r="FHK35" s="39"/>
      <c r="FHL35" s="39"/>
      <c r="FHM35" s="39"/>
      <c r="FHN35" s="39"/>
      <c r="FHO35" s="39"/>
      <c r="FHP35" s="39"/>
      <c r="FHQ35" s="39"/>
      <c r="FHR35" s="39"/>
      <c r="FHS35" s="39"/>
      <c r="FHT35" s="39"/>
      <c r="FHU35" s="39"/>
      <c r="FHV35" s="39"/>
      <c r="FHW35" s="39"/>
      <c r="FHX35" s="39"/>
      <c r="FHY35" s="39"/>
      <c r="FHZ35" s="39"/>
      <c r="FIA35" s="39"/>
      <c r="FIB35" s="39"/>
      <c r="FIC35" s="39"/>
      <c r="FID35" s="39"/>
      <c r="FIE35" s="39"/>
      <c r="FIF35" s="39"/>
      <c r="FIG35" s="39"/>
      <c r="FIH35" s="39"/>
      <c r="FII35" s="39"/>
      <c r="FIJ35" s="39"/>
      <c r="FIK35" s="39"/>
      <c r="FIL35" s="39"/>
      <c r="FIM35" s="39"/>
      <c r="FIN35" s="39"/>
      <c r="FIO35" s="39"/>
      <c r="FIP35" s="39"/>
      <c r="FIQ35" s="39"/>
      <c r="FIR35" s="39"/>
      <c r="FIS35" s="39"/>
      <c r="FIT35" s="39"/>
      <c r="FIU35" s="39"/>
      <c r="FIV35" s="39"/>
      <c r="FIW35" s="39"/>
      <c r="FIX35" s="39"/>
      <c r="FIY35" s="39"/>
      <c r="FIZ35" s="39"/>
      <c r="FJA35" s="39"/>
      <c r="FJB35" s="39"/>
      <c r="FJC35" s="39"/>
      <c r="FJD35" s="39"/>
      <c r="FJE35" s="39"/>
      <c r="FJF35" s="39"/>
      <c r="FJG35" s="39"/>
      <c r="FJH35" s="39"/>
      <c r="FJI35" s="39"/>
      <c r="FJJ35" s="39"/>
      <c r="FJK35" s="39"/>
      <c r="FJL35" s="39"/>
      <c r="FJM35" s="39"/>
      <c r="FJN35" s="39"/>
      <c r="FJO35" s="39"/>
      <c r="FJP35" s="39"/>
      <c r="FJQ35" s="39"/>
      <c r="FJR35" s="39"/>
      <c r="FJS35" s="39"/>
      <c r="FJT35" s="39"/>
      <c r="FJU35" s="39"/>
      <c r="FJV35" s="39"/>
      <c r="FJW35" s="39"/>
      <c r="FJX35" s="39"/>
      <c r="FJY35" s="39"/>
      <c r="FJZ35" s="39"/>
      <c r="FKA35" s="39"/>
      <c r="FKB35" s="39"/>
      <c r="FKC35" s="39"/>
      <c r="FKD35" s="39"/>
      <c r="FKE35" s="39"/>
      <c r="FKF35" s="39"/>
      <c r="FKG35" s="39"/>
      <c r="FKH35" s="39"/>
      <c r="FKI35" s="39"/>
      <c r="FKJ35" s="39"/>
      <c r="FKK35" s="39"/>
      <c r="FKL35" s="39"/>
      <c r="FKM35" s="39"/>
      <c r="FKN35" s="39"/>
      <c r="FKO35" s="39"/>
      <c r="FKP35" s="39"/>
      <c r="FKQ35" s="39"/>
      <c r="FKR35" s="39"/>
      <c r="FKS35" s="39"/>
      <c r="FKT35" s="39"/>
      <c r="FKU35" s="39"/>
      <c r="FKV35" s="39"/>
      <c r="FKW35" s="39"/>
      <c r="FKX35" s="39"/>
      <c r="FKY35" s="39"/>
      <c r="FKZ35" s="39"/>
      <c r="FLA35" s="39"/>
      <c r="FLB35" s="39"/>
      <c r="FLC35" s="39"/>
      <c r="FLD35" s="39"/>
      <c r="FLE35" s="39"/>
      <c r="FLF35" s="39"/>
      <c r="FLG35" s="39"/>
      <c r="FLH35" s="39"/>
      <c r="FLI35" s="39"/>
      <c r="FLJ35" s="39"/>
      <c r="FLK35" s="39"/>
      <c r="FLL35" s="39"/>
      <c r="FLM35" s="39"/>
      <c r="FLN35" s="39"/>
      <c r="FLO35" s="39"/>
      <c r="FLP35" s="39"/>
      <c r="FLQ35" s="39"/>
      <c r="FLR35" s="39"/>
      <c r="FLS35" s="39"/>
      <c r="FLT35" s="39"/>
      <c r="FLU35" s="39"/>
      <c r="FLV35" s="39"/>
      <c r="FLW35" s="39"/>
      <c r="FLX35" s="39"/>
      <c r="FLY35" s="39"/>
      <c r="FLZ35" s="39"/>
      <c r="FMA35" s="39"/>
      <c r="FMB35" s="39"/>
      <c r="FMC35" s="39"/>
      <c r="FMD35" s="39"/>
      <c r="FME35" s="39"/>
      <c r="FMF35" s="39"/>
      <c r="FMG35" s="39"/>
      <c r="FMH35" s="39"/>
      <c r="FMI35" s="39"/>
      <c r="FMJ35" s="39"/>
      <c r="FMK35" s="39"/>
      <c r="FML35" s="39"/>
      <c r="FMM35" s="39"/>
      <c r="FMN35" s="39"/>
      <c r="FMO35" s="39"/>
      <c r="FMP35" s="39"/>
      <c r="FMQ35" s="39"/>
      <c r="FMR35" s="39"/>
      <c r="FMS35" s="39"/>
      <c r="FMT35" s="39"/>
      <c r="FMU35" s="39"/>
      <c r="FMV35" s="39"/>
      <c r="FMW35" s="39"/>
      <c r="FMX35" s="39"/>
      <c r="FMY35" s="39"/>
      <c r="FMZ35" s="39"/>
      <c r="FNA35" s="39"/>
      <c r="FNB35" s="39"/>
      <c r="FNC35" s="39"/>
      <c r="FND35" s="39"/>
      <c r="FNE35" s="39"/>
      <c r="FNF35" s="39"/>
      <c r="FNG35" s="39"/>
      <c r="FNH35" s="39"/>
      <c r="FNI35" s="39"/>
      <c r="FNJ35" s="39"/>
      <c r="FNK35" s="39"/>
      <c r="FNL35" s="39"/>
      <c r="FNM35" s="39"/>
      <c r="FNN35" s="39"/>
      <c r="FNO35" s="39"/>
      <c r="FNP35" s="39"/>
      <c r="FNQ35" s="39"/>
      <c r="FNR35" s="39"/>
      <c r="FNS35" s="39"/>
      <c r="FNT35" s="39"/>
      <c r="FNU35" s="39"/>
      <c r="FNV35" s="39"/>
      <c r="FNW35" s="39"/>
      <c r="FNX35" s="39"/>
      <c r="FNY35" s="39"/>
      <c r="FNZ35" s="39"/>
      <c r="FOA35" s="39"/>
      <c r="FOB35" s="39"/>
      <c r="FOC35" s="39"/>
      <c r="FOD35" s="39"/>
      <c r="FOE35" s="39"/>
      <c r="FOF35" s="39"/>
      <c r="FOG35" s="39"/>
      <c r="FOH35" s="39"/>
      <c r="FOI35" s="39"/>
      <c r="FOJ35" s="39"/>
      <c r="FOK35" s="39"/>
      <c r="FOL35" s="39"/>
      <c r="FOM35" s="39"/>
      <c r="FON35" s="39"/>
      <c r="FOO35" s="39"/>
      <c r="FOP35" s="39"/>
      <c r="FOQ35" s="39"/>
      <c r="FOR35" s="39"/>
      <c r="FOS35" s="39"/>
      <c r="FOT35" s="39"/>
      <c r="FOU35" s="39"/>
      <c r="FOV35" s="39"/>
      <c r="FOW35" s="39"/>
      <c r="FOX35" s="39"/>
      <c r="FOY35" s="39"/>
      <c r="FOZ35" s="39"/>
      <c r="FPA35" s="39"/>
      <c r="FPB35" s="39"/>
      <c r="FPC35" s="39"/>
      <c r="FPD35" s="39"/>
      <c r="FPE35" s="39"/>
      <c r="FPF35" s="39"/>
      <c r="FPG35" s="39"/>
      <c r="FPH35" s="39"/>
      <c r="FPI35" s="39"/>
      <c r="FPJ35" s="39"/>
      <c r="FPK35" s="39"/>
      <c r="FPL35" s="39"/>
      <c r="FPM35" s="39"/>
      <c r="FPN35" s="39"/>
      <c r="FPO35" s="39"/>
      <c r="FPP35" s="39"/>
      <c r="FPQ35" s="39"/>
      <c r="FPR35" s="39"/>
      <c r="FPS35" s="39"/>
      <c r="FPT35" s="39"/>
      <c r="FPU35" s="39"/>
      <c r="FPV35" s="39"/>
      <c r="FPW35" s="39"/>
      <c r="FPX35" s="39"/>
      <c r="FPY35" s="39"/>
      <c r="FPZ35" s="39"/>
      <c r="FQA35" s="39"/>
      <c r="FQB35" s="39"/>
      <c r="FQC35" s="39"/>
      <c r="FQD35" s="39"/>
      <c r="FQE35" s="39"/>
      <c r="FQF35" s="39"/>
      <c r="FQG35" s="39"/>
      <c r="FQH35" s="39"/>
      <c r="FQI35" s="39"/>
      <c r="FQJ35" s="39"/>
      <c r="FQK35" s="39"/>
      <c r="FQL35" s="39"/>
      <c r="FQM35" s="39"/>
      <c r="FQN35" s="39"/>
      <c r="FQO35" s="39"/>
      <c r="FQP35" s="39"/>
      <c r="FQQ35" s="39"/>
      <c r="FQR35" s="39"/>
      <c r="FQS35" s="39"/>
      <c r="FQT35" s="39"/>
      <c r="FQU35" s="39"/>
      <c r="FQV35" s="39"/>
      <c r="FQW35" s="39"/>
      <c r="FQX35" s="39"/>
      <c r="FQY35" s="39"/>
      <c r="FQZ35" s="39"/>
      <c r="FRA35" s="39"/>
      <c r="FRB35" s="39"/>
      <c r="FRC35" s="39"/>
      <c r="FRD35" s="39"/>
      <c r="FRE35" s="39"/>
      <c r="FRF35" s="39"/>
      <c r="FRG35" s="39"/>
      <c r="FRH35" s="39"/>
      <c r="FRI35" s="39"/>
      <c r="FRJ35" s="39"/>
      <c r="FRK35" s="39"/>
      <c r="FRL35" s="39"/>
      <c r="FRM35" s="39"/>
      <c r="FRN35" s="39"/>
      <c r="FRO35" s="39"/>
      <c r="FRP35" s="39"/>
      <c r="FRQ35" s="39"/>
      <c r="FRR35" s="39"/>
      <c r="FRS35" s="39"/>
      <c r="FRT35" s="39"/>
      <c r="FRU35" s="39"/>
      <c r="FRV35" s="39"/>
      <c r="FRW35" s="39"/>
      <c r="FRX35" s="39"/>
      <c r="FRY35" s="39"/>
      <c r="FRZ35" s="39"/>
      <c r="FSA35" s="39"/>
      <c r="FSB35" s="39"/>
      <c r="FSC35" s="39"/>
      <c r="FSD35" s="39"/>
      <c r="FSE35" s="39"/>
      <c r="FSF35" s="39"/>
      <c r="FSG35" s="39"/>
      <c r="FSH35" s="39"/>
      <c r="FSI35" s="39"/>
      <c r="FSJ35" s="39"/>
      <c r="FSK35" s="39"/>
      <c r="FSL35" s="39"/>
      <c r="FSM35" s="39"/>
      <c r="FSN35" s="39"/>
      <c r="FSO35" s="39"/>
      <c r="FSP35" s="39"/>
      <c r="FSQ35" s="39"/>
      <c r="FSR35" s="39"/>
      <c r="FSS35" s="39"/>
      <c r="FST35" s="39"/>
      <c r="FSU35" s="39"/>
      <c r="FSV35" s="39"/>
      <c r="FSW35" s="39"/>
      <c r="FSX35" s="39"/>
      <c r="FSY35" s="39"/>
      <c r="FSZ35" s="39"/>
      <c r="FTA35" s="39"/>
      <c r="FTB35" s="39"/>
      <c r="FTC35" s="39"/>
      <c r="FTD35" s="39"/>
      <c r="FTE35" s="39"/>
      <c r="FTF35" s="39"/>
      <c r="FTG35" s="39"/>
      <c r="FTH35" s="39"/>
      <c r="FTI35" s="39"/>
      <c r="FTJ35" s="39"/>
      <c r="FTK35" s="39"/>
      <c r="FTL35" s="39"/>
      <c r="FTM35" s="39"/>
      <c r="FTN35" s="39"/>
      <c r="FTO35" s="39"/>
      <c r="FTP35" s="39"/>
      <c r="FTQ35" s="39"/>
      <c r="FTR35" s="39"/>
      <c r="FTS35" s="39"/>
      <c r="FTT35" s="39"/>
      <c r="FTU35" s="39"/>
      <c r="FTV35" s="39"/>
      <c r="FTW35" s="39"/>
      <c r="FTX35" s="39"/>
      <c r="FTY35" s="39"/>
      <c r="FTZ35" s="39"/>
      <c r="FUA35" s="39"/>
      <c r="FUB35" s="39"/>
      <c r="FUC35" s="39"/>
      <c r="FUD35" s="39"/>
      <c r="FUE35" s="39"/>
      <c r="FUF35" s="39"/>
      <c r="FUG35" s="39"/>
      <c r="FUH35" s="39"/>
      <c r="FUI35" s="39"/>
      <c r="FUJ35" s="39"/>
      <c r="FUK35" s="39"/>
      <c r="FUL35" s="39"/>
      <c r="FUM35" s="39"/>
      <c r="FUN35" s="39"/>
      <c r="FUO35" s="39"/>
      <c r="FUP35" s="39"/>
      <c r="FUQ35" s="39"/>
      <c r="FUR35" s="39"/>
      <c r="FUS35" s="39"/>
      <c r="FUT35" s="39"/>
      <c r="FUU35" s="39"/>
      <c r="FUV35" s="39"/>
      <c r="FUW35" s="39"/>
      <c r="FUX35" s="39"/>
      <c r="FUY35" s="39"/>
      <c r="FUZ35" s="39"/>
      <c r="FVA35" s="39"/>
      <c r="FVB35" s="39"/>
      <c r="FVC35" s="39"/>
      <c r="FVD35" s="39"/>
      <c r="FVE35" s="39"/>
      <c r="FVF35" s="39"/>
      <c r="FVG35" s="39"/>
      <c r="FVH35" s="39"/>
      <c r="FVI35" s="39"/>
      <c r="FVJ35" s="39"/>
      <c r="FVK35" s="39"/>
      <c r="FVL35" s="39"/>
      <c r="FVM35" s="39"/>
      <c r="FVN35" s="39"/>
      <c r="FVO35" s="39"/>
      <c r="FVP35" s="39"/>
      <c r="FVQ35" s="39"/>
      <c r="FVR35" s="39"/>
      <c r="FVS35" s="39"/>
      <c r="FVT35" s="39"/>
      <c r="FVU35" s="39"/>
      <c r="FVV35" s="39"/>
      <c r="FVW35" s="39"/>
      <c r="FVX35" s="39"/>
      <c r="FVY35" s="39"/>
      <c r="FVZ35" s="39"/>
      <c r="FWA35" s="39"/>
      <c r="FWB35" s="39"/>
      <c r="FWC35" s="39"/>
      <c r="FWD35" s="39"/>
      <c r="FWE35" s="39"/>
      <c r="FWF35" s="39"/>
      <c r="FWG35" s="39"/>
      <c r="FWH35" s="39"/>
      <c r="FWI35" s="39"/>
      <c r="FWJ35" s="39"/>
      <c r="FWK35" s="39"/>
      <c r="FWL35" s="39"/>
      <c r="FWM35" s="39"/>
      <c r="FWN35" s="39"/>
      <c r="FWO35" s="39"/>
      <c r="FWP35" s="39"/>
      <c r="FWQ35" s="39"/>
      <c r="FWR35" s="39"/>
      <c r="FWS35" s="39"/>
      <c r="FWT35" s="39"/>
      <c r="FWU35" s="39"/>
      <c r="FWV35" s="39"/>
      <c r="FWW35" s="39"/>
      <c r="FWX35" s="39"/>
      <c r="FWY35" s="39"/>
      <c r="FWZ35" s="39"/>
      <c r="FXA35" s="39"/>
      <c r="FXB35" s="39"/>
      <c r="FXC35" s="39"/>
      <c r="FXD35" s="39"/>
      <c r="FXE35" s="39"/>
      <c r="FXF35" s="39"/>
      <c r="FXG35" s="39"/>
      <c r="FXH35" s="39"/>
      <c r="FXI35" s="39"/>
      <c r="FXJ35" s="39"/>
      <c r="FXK35" s="39"/>
      <c r="FXL35" s="39"/>
      <c r="FXM35" s="39"/>
      <c r="FXN35" s="39"/>
      <c r="FXO35" s="39"/>
      <c r="FXP35" s="39"/>
      <c r="FXQ35" s="39"/>
      <c r="FXR35" s="39"/>
      <c r="FXS35" s="39"/>
      <c r="FXT35" s="39"/>
      <c r="FXU35" s="39"/>
      <c r="FXV35" s="39"/>
      <c r="FXW35" s="39"/>
      <c r="FXX35" s="39"/>
      <c r="FXY35" s="39"/>
      <c r="FXZ35" s="39"/>
      <c r="FYA35" s="39"/>
      <c r="FYB35" s="39"/>
      <c r="FYC35" s="39"/>
      <c r="FYD35" s="39"/>
      <c r="FYE35" s="39"/>
      <c r="FYF35" s="39"/>
      <c r="FYG35" s="39"/>
      <c r="FYH35" s="39"/>
      <c r="FYI35" s="39"/>
      <c r="FYJ35" s="39"/>
      <c r="FYK35" s="39"/>
      <c r="FYL35" s="39"/>
      <c r="FYM35" s="39"/>
      <c r="FYN35" s="39"/>
      <c r="FYO35" s="39"/>
      <c r="FYP35" s="39"/>
      <c r="FYQ35" s="39"/>
      <c r="FYR35" s="39"/>
      <c r="FYS35" s="39"/>
      <c r="FYT35" s="39"/>
      <c r="FYU35" s="39"/>
      <c r="FYV35" s="39"/>
      <c r="FYW35" s="39"/>
      <c r="FYX35" s="39"/>
      <c r="FYY35" s="39"/>
      <c r="FYZ35" s="39"/>
      <c r="FZA35" s="39"/>
      <c r="FZB35" s="39"/>
      <c r="FZC35" s="39"/>
      <c r="FZD35" s="39"/>
      <c r="FZE35" s="39"/>
      <c r="FZF35" s="39"/>
      <c r="FZG35" s="39"/>
      <c r="FZH35" s="39"/>
      <c r="FZI35" s="39"/>
      <c r="FZJ35" s="39"/>
      <c r="FZK35" s="39"/>
      <c r="FZL35" s="39"/>
      <c r="FZM35" s="39"/>
      <c r="FZN35" s="39"/>
      <c r="FZO35" s="39"/>
      <c r="FZP35" s="39"/>
      <c r="FZQ35" s="39"/>
      <c r="FZR35" s="39"/>
      <c r="FZS35" s="39"/>
      <c r="FZT35" s="39"/>
      <c r="FZU35" s="39"/>
      <c r="FZV35" s="39"/>
      <c r="FZW35" s="39"/>
      <c r="FZX35" s="39"/>
      <c r="FZY35" s="39"/>
      <c r="FZZ35" s="39"/>
      <c r="GAA35" s="39"/>
      <c r="GAB35" s="39"/>
      <c r="GAC35" s="39"/>
      <c r="GAD35" s="39"/>
      <c r="GAE35" s="39"/>
      <c r="GAF35" s="39"/>
      <c r="GAG35" s="39"/>
      <c r="GAH35" s="39"/>
      <c r="GAI35" s="39"/>
      <c r="GAJ35" s="39"/>
      <c r="GAK35" s="39"/>
      <c r="GAL35" s="39"/>
      <c r="GAM35" s="39"/>
      <c r="GAN35" s="39"/>
      <c r="GAO35" s="39"/>
      <c r="GAP35" s="39"/>
      <c r="GAQ35" s="39"/>
      <c r="GAR35" s="39"/>
      <c r="GAS35" s="39"/>
      <c r="GAT35" s="39"/>
      <c r="GAU35" s="39"/>
      <c r="GAV35" s="39"/>
      <c r="GAW35" s="39"/>
      <c r="GAX35" s="39"/>
      <c r="GAY35" s="39"/>
      <c r="GAZ35" s="39"/>
      <c r="GBA35" s="39"/>
      <c r="GBB35" s="39"/>
      <c r="GBC35" s="39"/>
      <c r="GBD35" s="39"/>
      <c r="GBE35" s="39"/>
      <c r="GBF35" s="39"/>
      <c r="GBG35" s="39"/>
      <c r="GBH35" s="39"/>
      <c r="GBI35" s="39"/>
      <c r="GBJ35" s="39"/>
      <c r="GBK35" s="39"/>
      <c r="GBL35" s="39"/>
      <c r="GBM35" s="39"/>
      <c r="GBN35" s="39"/>
      <c r="GBO35" s="39"/>
      <c r="GBP35" s="39"/>
      <c r="GBQ35" s="39"/>
      <c r="GBR35" s="39"/>
      <c r="GBS35" s="39"/>
      <c r="GBT35" s="39"/>
      <c r="GBU35" s="39"/>
      <c r="GBV35" s="39"/>
      <c r="GBW35" s="39"/>
      <c r="GBX35" s="39"/>
      <c r="GBY35" s="39"/>
      <c r="GBZ35" s="39"/>
      <c r="GCA35" s="39"/>
      <c r="GCB35" s="39"/>
      <c r="GCC35" s="39"/>
      <c r="GCD35" s="39"/>
      <c r="GCE35" s="39"/>
      <c r="GCF35" s="39"/>
      <c r="GCG35" s="39"/>
      <c r="GCH35" s="39"/>
      <c r="GCI35" s="39"/>
      <c r="GCJ35" s="39"/>
      <c r="GCK35" s="39"/>
      <c r="GCL35" s="39"/>
      <c r="GCM35" s="39"/>
      <c r="GCN35" s="39"/>
      <c r="GCO35" s="39"/>
      <c r="GCP35" s="39"/>
      <c r="GCQ35" s="39"/>
      <c r="GCR35" s="39"/>
      <c r="GCS35" s="39"/>
      <c r="GCT35" s="39"/>
      <c r="GCU35" s="39"/>
      <c r="GCV35" s="39"/>
      <c r="GCW35" s="39"/>
      <c r="GCX35" s="39"/>
      <c r="GCY35" s="39"/>
      <c r="GCZ35" s="39"/>
      <c r="GDA35" s="39"/>
      <c r="GDB35" s="39"/>
      <c r="GDC35" s="39"/>
      <c r="GDD35" s="39"/>
      <c r="GDE35" s="39"/>
      <c r="GDF35" s="39"/>
      <c r="GDG35" s="39"/>
      <c r="GDH35" s="39"/>
      <c r="GDI35" s="39"/>
      <c r="GDJ35" s="39"/>
      <c r="GDK35" s="39"/>
      <c r="GDL35" s="39"/>
      <c r="GDM35" s="39"/>
      <c r="GDN35" s="39"/>
      <c r="GDO35" s="39"/>
      <c r="GDP35" s="39"/>
      <c r="GDQ35" s="39"/>
      <c r="GDR35" s="39"/>
      <c r="GDS35" s="39"/>
      <c r="GDT35" s="39"/>
      <c r="GDU35" s="39"/>
      <c r="GDV35" s="39"/>
      <c r="GDW35" s="39"/>
      <c r="GDX35" s="39"/>
      <c r="GDY35" s="39"/>
      <c r="GDZ35" s="39"/>
      <c r="GEA35" s="39"/>
      <c r="GEB35" s="39"/>
      <c r="GEC35" s="39"/>
      <c r="GED35" s="39"/>
      <c r="GEE35" s="39"/>
      <c r="GEF35" s="39"/>
      <c r="GEG35" s="39"/>
      <c r="GEH35" s="39"/>
      <c r="GEI35" s="39"/>
      <c r="GEJ35" s="39"/>
      <c r="GEK35" s="39"/>
      <c r="GEL35" s="39"/>
      <c r="GEM35" s="39"/>
      <c r="GEN35" s="39"/>
      <c r="GEO35" s="39"/>
      <c r="GEP35" s="39"/>
      <c r="GEQ35" s="39"/>
      <c r="GER35" s="39"/>
      <c r="GES35" s="39"/>
      <c r="GET35" s="39"/>
      <c r="GEU35" s="39"/>
      <c r="GEV35" s="39"/>
      <c r="GEW35" s="39"/>
      <c r="GEX35" s="39"/>
      <c r="GEY35" s="39"/>
      <c r="GEZ35" s="39"/>
      <c r="GFA35" s="39"/>
      <c r="GFB35" s="39"/>
      <c r="GFC35" s="39"/>
      <c r="GFD35" s="39"/>
      <c r="GFE35" s="39"/>
      <c r="GFF35" s="39"/>
      <c r="GFG35" s="39"/>
      <c r="GFH35" s="39"/>
      <c r="GFI35" s="39"/>
      <c r="GFJ35" s="39"/>
      <c r="GFK35" s="39"/>
      <c r="GFL35" s="39"/>
      <c r="GFM35" s="39"/>
      <c r="GFN35" s="39"/>
      <c r="GFO35" s="39"/>
      <c r="GFP35" s="39"/>
      <c r="GFQ35" s="39"/>
      <c r="GFR35" s="39"/>
      <c r="GFS35" s="39"/>
      <c r="GFT35" s="39"/>
      <c r="GFU35" s="39"/>
      <c r="GFV35" s="39"/>
      <c r="GFW35" s="39"/>
      <c r="GFX35" s="39"/>
      <c r="GFY35" s="39"/>
      <c r="GFZ35" s="39"/>
      <c r="GGA35" s="39"/>
      <c r="GGB35" s="39"/>
      <c r="GGC35" s="39"/>
      <c r="GGD35" s="39"/>
      <c r="GGE35" s="39"/>
      <c r="GGF35" s="39"/>
      <c r="GGG35" s="39"/>
      <c r="GGH35" s="39"/>
      <c r="GGI35" s="39"/>
      <c r="GGJ35" s="39"/>
      <c r="GGK35" s="39"/>
      <c r="GGL35" s="39"/>
      <c r="GGM35" s="39"/>
      <c r="GGN35" s="39"/>
      <c r="GGO35" s="39"/>
      <c r="GGP35" s="39"/>
      <c r="GGQ35" s="39"/>
      <c r="GGR35" s="39"/>
      <c r="GGS35" s="39"/>
      <c r="GGT35" s="39"/>
      <c r="GGU35" s="39"/>
      <c r="GGV35" s="39"/>
      <c r="GGW35" s="39"/>
      <c r="GGX35" s="39"/>
      <c r="GGY35" s="39"/>
      <c r="GGZ35" s="39"/>
      <c r="GHA35" s="39"/>
      <c r="GHB35" s="39"/>
      <c r="GHC35" s="39"/>
      <c r="GHD35" s="39"/>
      <c r="GHE35" s="39"/>
      <c r="GHF35" s="39"/>
      <c r="GHG35" s="39"/>
      <c r="GHH35" s="39"/>
      <c r="GHI35" s="39"/>
      <c r="GHJ35" s="39"/>
      <c r="GHK35" s="39"/>
      <c r="GHL35" s="39"/>
      <c r="GHM35" s="39"/>
      <c r="GHN35" s="39"/>
      <c r="GHO35" s="39"/>
      <c r="GHP35" s="39"/>
      <c r="GHQ35" s="39"/>
      <c r="GHR35" s="39"/>
      <c r="GHS35" s="39"/>
      <c r="GHT35" s="39"/>
      <c r="GHU35" s="39"/>
      <c r="GHV35" s="39"/>
      <c r="GHW35" s="39"/>
      <c r="GHX35" s="39"/>
      <c r="GHY35" s="39"/>
      <c r="GHZ35" s="39"/>
      <c r="GIA35" s="39"/>
      <c r="GIB35" s="39"/>
      <c r="GIC35" s="39"/>
      <c r="GID35" s="39"/>
      <c r="GIE35" s="39"/>
      <c r="GIF35" s="39"/>
      <c r="GIG35" s="39"/>
      <c r="GIH35" s="39"/>
      <c r="GII35" s="39"/>
      <c r="GIJ35" s="39"/>
      <c r="GIK35" s="39"/>
      <c r="GIL35" s="39"/>
      <c r="GIM35" s="39"/>
      <c r="GIN35" s="39"/>
      <c r="GIO35" s="39"/>
      <c r="GIP35" s="39"/>
      <c r="GIQ35" s="39"/>
      <c r="GIR35" s="39"/>
      <c r="GIS35" s="39"/>
      <c r="GIT35" s="39"/>
      <c r="GIU35" s="39"/>
      <c r="GIV35" s="39"/>
      <c r="GIW35" s="39"/>
      <c r="GIX35" s="39"/>
      <c r="GIY35" s="39"/>
      <c r="GIZ35" s="39"/>
      <c r="GJA35" s="39"/>
      <c r="GJB35" s="39"/>
      <c r="GJC35" s="39"/>
      <c r="GJD35" s="39"/>
      <c r="GJE35" s="39"/>
      <c r="GJF35" s="39"/>
      <c r="GJG35" s="39"/>
      <c r="GJH35" s="39"/>
      <c r="GJI35" s="39"/>
      <c r="GJJ35" s="39"/>
      <c r="GJK35" s="39"/>
      <c r="GJL35" s="39"/>
      <c r="GJM35" s="39"/>
      <c r="GJN35" s="39"/>
      <c r="GJO35" s="39"/>
      <c r="GJP35" s="39"/>
      <c r="GJQ35" s="39"/>
      <c r="GJR35" s="39"/>
      <c r="GJS35" s="39"/>
      <c r="GJT35" s="39"/>
      <c r="GJU35" s="39"/>
      <c r="GJV35" s="39"/>
      <c r="GJW35" s="39"/>
      <c r="GJX35" s="39"/>
      <c r="GJY35" s="39"/>
      <c r="GJZ35" s="39"/>
      <c r="GKA35" s="39"/>
      <c r="GKB35" s="39"/>
      <c r="GKC35" s="39"/>
      <c r="GKD35" s="39"/>
      <c r="GKE35" s="39"/>
      <c r="GKF35" s="39"/>
      <c r="GKG35" s="39"/>
      <c r="GKH35" s="39"/>
      <c r="GKI35" s="39"/>
      <c r="GKJ35" s="39"/>
      <c r="GKK35" s="39"/>
      <c r="GKL35" s="39"/>
      <c r="GKM35" s="39"/>
      <c r="GKN35" s="39"/>
      <c r="GKO35" s="39"/>
      <c r="GKP35" s="39"/>
      <c r="GKQ35" s="39"/>
      <c r="GKR35" s="39"/>
      <c r="GKS35" s="39"/>
      <c r="GKT35" s="39"/>
      <c r="GKU35" s="39"/>
      <c r="GKV35" s="39"/>
      <c r="GKW35" s="39"/>
      <c r="GKX35" s="39"/>
      <c r="GKY35" s="39"/>
      <c r="GKZ35" s="39"/>
      <c r="GLA35" s="39"/>
      <c r="GLB35" s="39"/>
      <c r="GLC35" s="39"/>
      <c r="GLD35" s="39"/>
      <c r="GLE35" s="39"/>
      <c r="GLF35" s="39"/>
      <c r="GLG35" s="39"/>
      <c r="GLH35" s="39"/>
      <c r="GLI35" s="39"/>
      <c r="GLJ35" s="39"/>
      <c r="GLK35" s="39"/>
      <c r="GLL35" s="39"/>
      <c r="GLM35" s="39"/>
      <c r="GLN35" s="39"/>
      <c r="GLO35" s="39"/>
      <c r="GLP35" s="39"/>
      <c r="GLQ35" s="39"/>
      <c r="GLR35" s="39"/>
      <c r="GLS35" s="39"/>
      <c r="GLT35" s="39"/>
      <c r="GLU35" s="39"/>
      <c r="GLV35" s="39"/>
      <c r="GLW35" s="39"/>
      <c r="GLX35" s="39"/>
      <c r="GLY35" s="39"/>
      <c r="GLZ35" s="39"/>
      <c r="GMA35" s="39"/>
      <c r="GMB35" s="39"/>
      <c r="GMC35" s="39"/>
      <c r="GMD35" s="39"/>
      <c r="GME35" s="39"/>
      <c r="GMF35" s="39"/>
      <c r="GMG35" s="39"/>
      <c r="GMH35" s="39"/>
      <c r="GMI35" s="39"/>
      <c r="GMJ35" s="39"/>
      <c r="GMK35" s="39"/>
      <c r="GML35" s="39"/>
      <c r="GMM35" s="39"/>
      <c r="GMN35" s="39"/>
      <c r="GMO35" s="39"/>
      <c r="GMP35" s="39"/>
      <c r="GMQ35" s="39"/>
      <c r="GMR35" s="39"/>
      <c r="GMS35" s="39"/>
      <c r="GMT35" s="39"/>
      <c r="GMU35" s="39"/>
      <c r="GMV35" s="39"/>
      <c r="GMW35" s="39"/>
      <c r="GMX35" s="39"/>
      <c r="GMY35" s="39"/>
      <c r="GMZ35" s="39"/>
      <c r="GNA35" s="39"/>
      <c r="GNB35" s="39"/>
      <c r="GNC35" s="39"/>
      <c r="GND35" s="39"/>
      <c r="GNE35" s="39"/>
      <c r="GNF35" s="39"/>
      <c r="GNG35" s="39"/>
      <c r="GNH35" s="39"/>
      <c r="GNI35" s="39"/>
      <c r="GNJ35" s="39"/>
      <c r="GNK35" s="39"/>
      <c r="GNL35" s="39"/>
      <c r="GNM35" s="39"/>
      <c r="GNN35" s="39"/>
      <c r="GNO35" s="39"/>
      <c r="GNP35" s="39"/>
      <c r="GNQ35" s="39"/>
      <c r="GNR35" s="39"/>
      <c r="GNS35" s="39"/>
      <c r="GNT35" s="39"/>
      <c r="GNU35" s="39"/>
      <c r="GNV35" s="39"/>
      <c r="GNW35" s="39"/>
      <c r="GNX35" s="39"/>
      <c r="GNY35" s="39"/>
      <c r="GNZ35" s="39"/>
      <c r="GOA35" s="39"/>
      <c r="GOB35" s="39"/>
      <c r="GOC35" s="39"/>
      <c r="GOD35" s="39"/>
      <c r="GOE35" s="39"/>
      <c r="GOF35" s="39"/>
      <c r="GOG35" s="39"/>
      <c r="GOH35" s="39"/>
      <c r="GOI35" s="39"/>
      <c r="GOJ35" s="39"/>
      <c r="GOK35" s="39"/>
      <c r="GOL35" s="39"/>
      <c r="GOM35" s="39"/>
      <c r="GON35" s="39"/>
      <c r="GOO35" s="39"/>
      <c r="GOP35" s="39"/>
      <c r="GOQ35" s="39"/>
      <c r="GOR35" s="39"/>
      <c r="GOS35" s="39"/>
      <c r="GOT35" s="39"/>
      <c r="GOU35" s="39"/>
      <c r="GOV35" s="39"/>
      <c r="GOW35" s="39"/>
      <c r="GOX35" s="39"/>
      <c r="GOY35" s="39"/>
      <c r="GOZ35" s="39"/>
      <c r="GPA35" s="39"/>
      <c r="GPB35" s="39"/>
      <c r="GPC35" s="39"/>
      <c r="GPD35" s="39"/>
      <c r="GPE35" s="39"/>
      <c r="GPF35" s="39"/>
      <c r="GPG35" s="39"/>
      <c r="GPH35" s="39"/>
      <c r="GPI35" s="39"/>
      <c r="GPJ35" s="39"/>
      <c r="GPK35" s="39"/>
      <c r="GPL35" s="39"/>
      <c r="GPM35" s="39"/>
      <c r="GPN35" s="39"/>
      <c r="GPO35" s="39"/>
      <c r="GPP35" s="39"/>
      <c r="GPQ35" s="39"/>
      <c r="GPR35" s="39"/>
      <c r="GPS35" s="39"/>
      <c r="GPT35" s="39"/>
      <c r="GPU35" s="39"/>
      <c r="GPV35" s="39"/>
      <c r="GPW35" s="39"/>
      <c r="GPX35" s="39"/>
      <c r="GPY35" s="39"/>
      <c r="GPZ35" s="39"/>
      <c r="GQA35" s="39"/>
      <c r="GQB35" s="39"/>
      <c r="GQC35" s="39"/>
      <c r="GQD35" s="39"/>
      <c r="GQE35" s="39"/>
      <c r="GQF35" s="39"/>
      <c r="GQG35" s="39"/>
      <c r="GQH35" s="39"/>
      <c r="GQI35" s="39"/>
      <c r="GQJ35" s="39"/>
      <c r="GQK35" s="39"/>
      <c r="GQL35" s="39"/>
      <c r="GQM35" s="39"/>
      <c r="GQN35" s="39"/>
      <c r="GQO35" s="39"/>
      <c r="GQP35" s="39"/>
      <c r="GQQ35" s="39"/>
      <c r="GQR35" s="39"/>
      <c r="GQS35" s="39"/>
      <c r="GQT35" s="39"/>
      <c r="GQU35" s="39"/>
      <c r="GQV35" s="39"/>
      <c r="GQW35" s="39"/>
      <c r="GQX35" s="39"/>
      <c r="GQY35" s="39"/>
      <c r="GQZ35" s="39"/>
      <c r="GRA35" s="39"/>
      <c r="GRB35" s="39"/>
      <c r="GRC35" s="39"/>
      <c r="GRD35" s="39"/>
      <c r="GRE35" s="39"/>
      <c r="GRF35" s="39"/>
      <c r="GRG35" s="39"/>
      <c r="GRH35" s="39"/>
      <c r="GRI35" s="39"/>
      <c r="GRJ35" s="39"/>
      <c r="GRK35" s="39"/>
      <c r="GRL35" s="39"/>
      <c r="GRM35" s="39"/>
      <c r="GRN35" s="39"/>
      <c r="GRO35" s="39"/>
      <c r="GRP35" s="39"/>
      <c r="GRQ35" s="39"/>
      <c r="GRR35" s="39"/>
      <c r="GRS35" s="39"/>
      <c r="GRT35" s="39"/>
      <c r="GRU35" s="39"/>
      <c r="GRV35" s="39"/>
      <c r="GRW35" s="39"/>
      <c r="GRX35" s="39"/>
      <c r="GRY35" s="39"/>
      <c r="GRZ35" s="39"/>
      <c r="GSA35" s="39"/>
      <c r="GSB35" s="39"/>
      <c r="GSC35" s="39"/>
      <c r="GSD35" s="39"/>
      <c r="GSE35" s="39"/>
      <c r="GSF35" s="39"/>
      <c r="GSG35" s="39"/>
      <c r="GSH35" s="39"/>
      <c r="GSI35" s="39"/>
      <c r="GSJ35" s="39"/>
      <c r="GSK35" s="39"/>
      <c r="GSL35" s="39"/>
      <c r="GSM35" s="39"/>
      <c r="GSN35" s="39"/>
      <c r="GSO35" s="39"/>
      <c r="GSP35" s="39"/>
      <c r="GSQ35" s="39"/>
      <c r="GSR35" s="39"/>
      <c r="GSS35" s="39"/>
      <c r="GST35" s="39"/>
      <c r="GSU35" s="39"/>
      <c r="GSV35" s="39"/>
      <c r="GSW35" s="39"/>
      <c r="GSX35" s="39"/>
      <c r="GSY35" s="39"/>
      <c r="GSZ35" s="39"/>
      <c r="GTA35" s="39"/>
      <c r="GTB35" s="39"/>
      <c r="GTC35" s="39"/>
      <c r="GTD35" s="39"/>
      <c r="GTE35" s="39"/>
      <c r="GTF35" s="39"/>
      <c r="GTG35" s="39"/>
      <c r="GTH35" s="39"/>
      <c r="GTI35" s="39"/>
      <c r="GTJ35" s="39"/>
      <c r="GTK35" s="39"/>
      <c r="GTL35" s="39"/>
      <c r="GTM35" s="39"/>
      <c r="GTN35" s="39"/>
      <c r="GTO35" s="39"/>
      <c r="GTP35" s="39"/>
      <c r="GTQ35" s="39"/>
      <c r="GTR35" s="39"/>
      <c r="GTS35" s="39"/>
      <c r="GTT35" s="39"/>
      <c r="GTU35" s="39"/>
      <c r="GTV35" s="39"/>
      <c r="GTW35" s="39"/>
      <c r="GTX35" s="39"/>
      <c r="GTY35" s="39"/>
      <c r="GTZ35" s="39"/>
      <c r="GUA35" s="39"/>
      <c r="GUB35" s="39"/>
      <c r="GUC35" s="39"/>
      <c r="GUD35" s="39"/>
      <c r="GUE35" s="39"/>
      <c r="GUF35" s="39"/>
      <c r="GUG35" s="39"/>
      <c r="GUH35" s="39"/>
      <c r="GUI35" s="39"/>
      <c r="GUJ35" s="39"/>
      <c r="GUK35" s="39"/>
      <c r="GUL35" s="39"/>
      <c r="GUM35" s="39"/>
      <c r="GUN35" s="39"/>
      <c r="GUO35" s="39"/>
      <c r="GUP35" s="39"/>
      <c r="GUQ35" s="39"/>
      <c r="GUR35" s="39"/>
      <c r="GUS35" s="39"/>
      <c r="GUT35" s="39"/>
      <c r="GUU35" s="39"/>
      <c r="GUV35" s="39"/>
      <c r="GUW35" s="39"/>
      <c r="GUX35" s="39"/>
      <c r="GUY35" s="39"/>
      <c r="GUZ35" s="39"/>
      <c r="GVA35" s="39"/>
      <c r="GVB35" s="39"/>
      <c r="GVC35" s="39"/>
      <c r="GVD35" s="39"/>
      <c r="GVE35" s="39"/>
      <c r="GVF35" s="39"/>
      <c r="GVG35" s="39"/>
      <c r="GVH35" s="39"/>
      <c r="GVI35" s="39"/>
      <c r="GVJ35" s="39"/>
      <c r="GVK35" s="39"/>
      <c r="GVL35" s="39"/>
      <c r="GVM35" s="39"/>
      <c r="GVN35" s="39"/>
      <c r="GVO35" s="39"/>
      <c r="GVP35" s="39"/>
      <c r="GVQ35" s="39"/>
      <c r="GVR35" s="39"/>
      <c r="GVS35" s="39"/>
      <c r="GVT35" s="39"/>
      <c r="GVU35" s="39"/>
      <c r="GVV35" s="39"/>
      <c r="GVW35" s="39"/>
      <c r="GVX35" s="39"/>
      <c r="GVY35" s="39"/>
      <c r="GVZ35" s="39"/>
      <c r="GWA35" s="39"/>
      <c r="GWB35" s="39"/>
      <c r="GWC35" s="39"/>
      <c r="GWD35" s="39"/>
      <c r="GWE35" s="39"/>
      <c r="GWF35" s="39"/>
      <c r="GWG35" s="39"/>
      <c r="GWH35" s="39"/>
      <c r="GWI35" s="39"/>
      <c r="GWJ35" s="39"/>
      <c r="GWK35" s="39"/>
      <c r="GWL35" s="39"/>
      <c r="GWM35" s="39"/>
      <c r="GWN35" s="39"/>
      <c r="GWO35" s="39"/>
      <c r="GWP35" s="39"/>
      <c r="GWQ35" s="39"/>
      <c r="GWR35" s="39"/>
      <c r="GWS35" s="39"/>
      <c r="GWT35" s="39"/>
      <c r="GWU35" s="39"/>
      <c r="GWV35" s="39"/>
      <c r="GWW35" s="39"/>
      <c r="GWX35" s="39"/>
      <c r="GWY35" s="39"/>
      <c r="GWZ35" s="39"/>
      <c r="GXA35" s="39"/>
      <c r="GXB35" s="39"/>
      <c r="GXC35" s="39"/>
      <c r="GXD35" s="39"/>
      <c r="GXE35" s="39"/>
      <c r="GXF35" s="39"/>
      <c r="GXG35" s="39"/>
      <c r="GXH35" s="39"/>
      <c r="GXI35" s="39"/>
      <c r="GXJ35" s="39"/>
      <c r="GXK35" s="39"/>
      <c r="GXL35" s="39"/>
      <c r="GXM35" s="39"/>
      <c r="GXN35" s="39"/>
      <c r="GXO35" s="39"/>
      <c r="GXP35" s="39"/>
      <c r="GXQ35" s="39"/>
      <c r="GXR35" s="39"/>
      <c r="GXS35" s="39"/>
      <c r="GXT35" s="39"/>
      <c r="GXU35" s="39"/>
      <c r="GXV35" s="39"/>
      <c r="GXW35" s="39"/>
      <c r="GXX35" s="39"/>
      <c r="GXY35" s="39"/>
      <c r="GXZ35" s="39"/>
      <c r="GYA35" s="39"/>
      <c r="GYB35" s="39"/>
      <c r="GYC35" s="39"/>
      <c r="GYD35" s="39"/>
      <c r="GYE35" s="39"/>
      <c r="GYF35" s="39"/>
      <c r="GYG35" s="39"/>
      <c r="GYH35" s="39"/>
      <c r="GYI35" s="39"/>
      <c r="GYJ35" s="39"/>
      <c r="GYK35" s="39"/>
      <c r="GYL35" s="39"/>
      <c r="GYM35" s="39"/>
      <c r="GYN35" s="39"/>
      <c r="GYO35" s="39"/>
      <c r="GYP35" s="39"/>
      <c r="GYQ35" s="39"/>
      <c r="GYR35" s="39"/>
      <c r="GYS35" s="39"/>
      <c r="GYT35" s="39"/>
      <c r="GYU35" s="39"/>
      <c r="GYV35" s="39"/>
      <c r="GYW35" s="39"/>
      <c r="GYX35" s="39"/>
      <c r="GYY35" s="39"/>
      <c r="GYZ35" s="39"/>
      <c r="GZA35" s="39"/>
      <c r="GZB35" s="39"/>
      <c r="GZC35" s="39"/>
      <c r="GZD35" s="39"/>
      <c r="GZE35" s="39"/>
      <c r="GZF35" s="39"/>
      <c r="GZG35" s="39"/>
      <c r="GZH35" s="39"/>
      <c r="GZI35" s="39"/>
      <c r="GZJ35" s="39"/>
      <c r="GZK35" s="39"/>
      <c r="GZL35" s="39"/>
      <c r="GZM35" s="39"/>
      <c r="GZN35" s="39"/>
      <c r="GZO35" s="39"/>
      <c r="GZP35" s="39"/>
      <c r="GZQ35" s="39"/>
      <c r="GZR35" s="39"/>
      <c r="GZS35" s="39"/>
      <c r="GZT35" s="39"/>
      <c r="GZU35" s="39"/>
      <c r="GZV35" s="39"/>
      <c r="GZW35" s="39"/>
      <c r="GZX35" s="39"/>
      <c r="GZY35" s="39"/>
      <c r="GZZ35" s="39"/>
      <c r="HAA35" s="39"/>
      <c r="HAB35" s="39"/>
      <c r="HAC35" s="39"/>
      <c r="HAD35" s="39"/>
      <c r="HAE35" s="39"/>
      <c r="HAF35" s="39"/>
      <c r="HAG35" s="39"/>
      <c r="HAH35" s="39"/>
      <c r="HAI35" s="39"/>
      <c r="HAJ35" s="39"/>
      <c r="HAK35" s="39"/>
      <c r="HAL35" s="39"/>
      <c r="HAM35" s="39"/>
      <c r="HAN35" s="39"/>
      <c r="HAO35" s="39"/>
      <c r="HAP35" s="39"/>
      <c r="HAQ35" s="39"/>
      <c r="HAR35" s="39"/>
      <c r="HAS35" s="39"/>
      <c r="HAT35" s="39"/>
      <c r="HAU35" s="39"/>
      <c r="HAV35" s="39"/>
      <c r="HAW35" s="39"/>
      <c r="HAX35" s="39"/>
      <c r="HAY35" s="39"/>
      <c r="HAZ35" s="39"/>
      <c r="HBA35" s="39"/>
      <c r="HBB35" s="39"/>
      <c r="HBC35" s="39"/>
      <c r="HBD35" s="39"/>
      <c r="HBE35" s="39"/>
      <c r="HBF35" s="39"/>
      <c r="HBG35" s="39"/>
      <c r="HBH35" s="39"/>
      <c r="HBI35" s="39"/>
      <c r="HBJ35" s="39"/>
      <c r="HBK35" s="39"/>
      <c r="HBL35" s="39"/>
      <c r="HBM35" s="39"/>
      <c r="HBN35" s="39"/>
      <c r="HBO35" s="39"/>
      <c r="HBP35" s="39"/>
      <c r="HBQ35" s="39"/>
      <c r="HBR35" s="39"/>
      <c r="HBS35" s="39"/>
      <c r="HBT35" s="39"/>
      <c r="HBU35" s="39"/>
      <c r="HBV35" s="39"/>
      <c r="HBW35" s="39"/>
      <c r="HBX35" s="39"/>
      <c r="HBY35" s="39"/>
      <c r="HBZ35" s="39"/>
      <c r="HCA35" s="39"/>
      <c r="HCB35" s="39"/>
      <c r="HCC35" s="39"/>
      <c r="HCD35" s="39"/>
      <c r="HCE35" s="39"/>
      <c r="HCF35" s="39"/>
      <c r="HCG35" s="39"/>
      <c r="HCH35" s="39"/>
      <c r="HCI35" s="39"/>
      <c r="HCJ35" s="39"/>
      <c r="HCK35" s="39"/>
      <c r="HCL35" s="39"/>
      <c r="HCM35" s="39"/>
      <c r="HCN35" s="39"/>
      <c r="HCO35" s="39"/>
      <c r="HCP35" s="39"/>
      <c r="HCQ35" s="39"/>
      <c r="HCR35" s="39"/>
      <c r="HCS35" s="39"/>
      <c r="HCT35" s="39"/>
      <c r="HCU35" s="39"/>
      <c r="HCV35" s="39"/>
      <c r="HCW35" s="39"/>
      <c r="HCX35" s="39"/>
      <c r="HCY35" s="39"/>
      <c r="HCZ35" s="39"/>
      <c r="HDA35" s="39"/>
      <c r="HDB35" s="39"/>
      <c r="HDC35" s="39"/>
      <c r="HDD35" s="39"/>
      <c r="HDE35" s="39"/>
      <c r="HDF35" s="39"/>
      <c r="HDG35" s="39"/>
      <c r="HDH35" s="39"/>
      <c r="HDI35" s="39"/>
      <c r="HDJ35" s="39"/>
      <c r="HDK35" s="39"/>
      <c r="HDL35" s="39"/>
      <c r="HDM35" s="39"/>
      <c r="HDN35" s="39"/>
      <c r="HDO35" s="39"/>
      <c r="HDP35" s="39"/>
      <c r="HDQ35" s="39"/>
      <c r="HDR35" s="39"/>
      <c r="HDS35" s="39"/>
      <c r="HDT35" s="39"/>
      <c r="HDU35" s="39"/>
      <c r="HDV35" s="39"/>
      <c r="HDW35" s="39"/>
      <c r="HDX35" s="39"/>
      <c r="HDY35" s="39"/>
      <c r="HDZ35" s="39"/>
      <c r="HEA35" s="39"/>
      <c r="HEB35" s="39"/>
      <c r="HEC35" s="39"/>
      <c r="HED35" s="39"/>
      <c r="HEE35" s="39"/>
      <c r="HEF35" s="39"/>
      <c r="HEG35" s="39"/>
      <c r="HEH35" s="39"/>
      <c r="HEI35" s="39"/>
      <c r="HEJ35" s="39"/>
      <c r="HEK35" s="39"/>
      <c r="HEL35" s="39"/>
      <c r="HEM35" s="39"/>
      <c r="HEN35" s="39"/>
      <c r="HEO35" s="39"/>
      <c r="HEP35" s="39"/>
      <c r="HEQ35" s="39"/>
      <c r="HER35" s="39"/>
      <c r="HES35" s="39"/>
      <c r="HET35" s="39"/>
      <c r="HEU35" s="39"/>
      <c r="HEV35" s="39"/>
      <c r="HEW35" s="39"/>
      <c r="HEX35" s="39"/>
      <c r="HEY35" s="39"/>
      <c r="HEZ35" s="39"/>
      <c r="HFA35" s="39"/>
      <c r="HFB35" s="39"/>
      <c r="HFC35" s="39"/>
      <c r="HFD35" s="39"/>
      <c r="HFE35" s="39"/>
      <c r="HFF35" s="39"/>
      <c r="HFG35" s="39"/>
      <c r="HFH35" s="39"/>
      <c r="HFI35" s="39"/>
      <c r="HFJ35" s="39"/>
      <c r="HFK35" s="39"/>
      <c r="HFL35" s="39"/>
      <c r="HFM35" s="39"/>
      <c r="HFN35" s="39"/>
      <c r="HFO35" s="39"/>
      <c r="HFP35" s="39"/>
      <c r="HFQ35" s="39"/>
      <c r="HFR35" s="39"/>
      <c r="HFS35" s="39"/>
      <c r="HFT35" s="39"/>
      <c r="HFU35" s="39"/>
      <c r="HFV35" s="39"/>
      <c r="HFW35" s="39"/>
      <c r="HFX35" s="39"/>
      <c r="HFY35" s="39"/>
      <c r="HFZ35" s="39"/>
      <c r="HGA35" s="39"/>
      <c r="HGB35" s="39"/>
      <c r="HGC35" s="39"/>
      <c r="HGD35" s="39"/>
      <c r="HGE35" s="39"/>
      <c r="HGF35" s="39"/>
      <c r="HGG35" s="39"/>
      <c r="HGH35" s="39"/>
      <c r="HGI35" s="39"/>
      <c r="HGJ35" s="39"/>
      <c r="HGK35" s="39"/>
      <c r="HGL35" s="39"/>
      <c r="HGM35" s="39"/>
      <c r="HGN35" s="39"/>
      <c r="HGO35" s="39"/>
      <c r="HGP35" s="39"/>
      <c r="HGQ35" s="39"/>
      <c r="HGR35" s="39"/>
      <c r="HGS35" s="39"/>
      <c r="HGT35" s="39"/>
      <c r="HGU35" s="39"/>
      <c r="HGV35" s="39"/>
      <c r="HGW35" s="39"/>
      <c r="HGX35" s="39"/>
      <c r="HGY35" s="39"/>
      <c r="HGZ35" s="39"/>
      <c r="HHA35" s="39"/>
      <c r="HHB35" s="39"/>
      <c r="HHC35" s="39"/>
      <c r="HHD35" s="39"/>
      <c r="HHE35" s="39"/>
      <c r="HHF35" s="39"/>
      <c r="HHG35" s="39"/>
      <c r="HHH35" s="39"/>
      <c r="HHI35" s="39"/>
      <c r="HHJ35" s="39"/>
      <c r="HHK35" s="39"/>
      <c r="HHL35" s="39"/>
      <c r="HHM35" s="39"/>
      <c r="HHN35" s="39"/>
      <c r="HHO35" s="39"/>
      <c r="HHP35" s="39"/>
      <c r="HHQ35" s="39"/>
      <c r="HHR35" s="39"/>
      <c r="HHS35" s="39"/>
      <c r="HHT35" s="39"/>
      <c r="HHU35" s="39"/>
      <c r="HHV35" s="39"/>
      <c r="HHW35" s="39"/>
      <c r="HHX35" s="39"/>
      <c r="HHY35" s="39"/>
      <c r="HHZ35" s="39"/>
      <c r="HIA35" s="39"/>
      <c r="HIB35" s="39"/>
      <c r="HIC35" s="39"/>
      <c r="HID35" s="39"/>
      <c r="HIE35" s="39"/>
      <c r="HIF35" s="39"/>
      <c r="HIG35" s="39"/>
      <c r="HIH35" s="39"/>
      <c r="HII35" s="39"/>
      <c r="HIJ35" s="39"/>
      <c r="HIK35" s="39"/>
      <c r="HIL35" s="39"/>
      <c r="HIM35" s="39"/>
      <c r="HIN35" s="39"/>
      <c r="HIO35" s="39"/>
      <c r="HIP35" s="39"/>
      <c r="HIQ35" s="39"/>
      <c r="HIR35" s="39"/>
      <c r="HIS35" s="39"/>
      <c r="HIT35" s="39"/>
      <c r="HIU35" s="39"/>
      <c r="HIV35" s="39"/>
      <c r="HIW35" s="39"/>
      <c r="HIX35" s="39"/>
      <c r="HIY35" s="39"/>
      <c r="HIZ35" s="39"/>
      <c r="HJA35" s="39"/>
      <c r="HJB35" s="39"/>
      <c r="HJC35" s="39"/>
      <c r="HJD35" s="39"/>
      <c r="HJE35" s="39"/>
      <c r="HJF35" s="39"/>
      <c r="HJG35" s="39"/>
      <c r="HJH35" s="39"/>
      <c r="HJI35" s="39"/>
      <c r="HJJ35" s="39"/>
      <c r="HJK35" s="39"/>
      <c r="HJL35" s="39"/>
      <c r="HJM35" s="39"/>
      <c r="HJN35" s="39"/>
      <c r="HJO35" s="39"/>
      <c r="HJP35" s="39"/>
      <c r="HJQ35" s="39"/>
      <c r="HJR35" s="39"/>
      <c r="HJS35" s="39"/>
      <c r="HJT35" s="39"/>
      <c r="HJU35" s="39"/>
      <c r="HJV35" s="39"/>
      <c r="HJW35" s="39"/>
      <c r="HJX35" s="39"/>
      <c r="HJY35" s="39"/>
      <c r="HJZ35" s="39"/>
      <c r="HKA35" s="39"/>
      <c r="HKB35" s="39"/>
      <c r="HKC35" s="39"/>
      <c r="HKD35" s="39"/>
      <c r="HKE35" s="39"/>
      <c r="HKF35" s="39"/>
      <c r="HKG35" s="39"/>
      <c r="HKH35" s="39"/>
      <c r="HKI35" s="39"/>
      <c r="HKJ35" s="39"/>
      <c r="HKK35" s="39"/>
      <c r="HKL35" s="39"/>
      <c r="HKM35" s="39"/>
      <c r="HKN35" s="39"/>
      <c r="HKO35" s="39"/>
      <c r="HKP35" s="39"/>
      <c r="HKQ35" s="39"/>
      <c r="HKR35" s="39"/>
      <c r="HKS35" s="39"/>
      <c r="HKT35" s="39"/>
      <c r="HKU35" s="39"/>
      <c r="HKV35" s="39"/>
      <c r="HKW35" s="39"/>
      <c r="HKX35" s="39"/>
      <c r="HKY35" s="39"/>
      <c r="HKZ35" s="39"/>
      <c r="HLA35" s="39"/>
      <c r="HLB35" s="39"/>
      <c r="HLC35" s="39"/>
      <c r="HLD35" s="39"/>
      <c r="HLE35" s="39"/>
      <c r="HLF35" s="39"/>
      <c r="HLG35" s="39"/>
      <c r="HLH35" s="39"/>
      <c r="HLI35" s="39"/>
      <c r="HLJ35" s="39"/>
      <c r="HLK35" s="39"/>
      <c r="HLL35" s="39"/>
      <c r="HLM35" s="39"/>
      <c r="HLN35" s="39"/>
      <c r="HLO35" s="39"/>
      <c r="HLP35" s="39"/>
      <c r="HLQ35" s="39"/>
      <c r="HLR35" s="39"/>
      <c r="HLS35" s="39"/>
      <c r="HLT35" s="39"/>
      <c r="HLU35" s="39"/>
      <c r="HLV35" s="39"/>
      <c r="HLW35" s="39"/>
      <c r="HLX35" s="39"/>
      <c r="HLY35" s="39"/>
      <c r="HLZ35" s="39"/>
      <c r="HMA35" s="39"/>
      <c r="HMB35" s="39"/>
      <c r="HMC35" s="39"/>
      <c r="HMD35" s="39"/>
      <c r="HME35" s="39"/>
      <c r="HMF35" s="39"/>
      <c r="HMG35" s="39"/>
      <c r="HMH35" s="39"/>
      <c r="HMI35" s="39"/>
      <c r="HMJ35" s="39"/>
      <c r="HMK35" s="39"/>
      <c r="HML35" s="39"/>
      <c r="HMM35" s="39"/>
      <c r="HMN35" s="39"/>
      <c r="HMO35" s="39"/>
      <c r="HMP35" s="39"/>
      <c r="HMQ35" s="39"/>
      <c r="HMR35" s="39"/>
      <c r="HMS35" s="39"/>
      <c r="HMT35" s="39"/>
      <c r="HMU35" s="39"/>
      <c r="HMV35" s="39"/>
      <c r="HMW35" s="39"/>
      <c r="HMX35" s="39"/>
      <c r="HMY35" s="39"/>
      <c r="HMZ35" s="39"/>
      <c r="HNA35" s="39"/>
      <c r="HNB35" s="39"/>
      <c r="HNC35" s="39"/>
      <c r="HND35" s="39"/>
      <c r="HNE35" s="39"/>
      <c r="HNF35" s="39"/>
      <c r="HNG35" s="39"/>
      <c r="HNH35" s="39"/>
      <c r="HNI35" s="39"/>
      <c r="HNJ35" s="39"/>
      <c r="HNK35" s="39"/>
      <c r="HNL35" s="39"/>
      <c r="HNM35" s="39"/>
      <c r="HNN35" s="39"/>
      <c r="HNO35" s="39"/>
      <c r="HNP35" s="39"/>
      <c r="HNQ35" s="39"/>
      <c r="HNR35" s="39"/>
      <c r="HNS35" s="39"/>
      <c r="HNT35" s="39"/>
      <c r="HNU35" s="39"/>
      <c r="HNV35" s="39"/>
      <c r="HNW35" s="39"/>
      <c r="HNX35" s="39"/>
      <c r="HNY35" s="39"/>
      <c r="HNZ35" s="39"/>
      <c r="HOA35" s="39"/>
      <c r="HOB35" s="39"/>
      <c r="HOC35" s="39"/>
      <c r="HOD35" s="39"/>
      <c r="HOE35" s="39"/>
      <c r="HOF35" s="39"/>
      <c r="HOG35" s="39"/>
      <c r="HOH35" s="39"/>
      <c r="HOI35" s="39"/>
      <c r="HOJ35" s="39"/>
      <c r="HOK35" s="39"/>
      <c r="HOL35" s="39"/>
      <c r="HOM35" s="39"/>
      <c r="HON35" s="39"/>
      <c r="HOO35" s="39"/>
      <c r="HOP35" s="39"/>
      <c r="HOQ35" s="39"/>
      <c r="HOR35" s="39"/>
      <c r="HOS35" s="39"/>
      <c r="HOT35" s="39"/>
      <c r="HOU35" s="39"/>
      <c r="HOV35" s="39"/>
      <c r="HOW35" s="39"/>
      <c r="HOX35" s="39"/>
      <c r="HOY35" s="39"/>
      <c r="HOZ35" s="39"/>
      <c r="HPA35" s="39"/>
      <c r="HPB35" s="39"/>
      <c r="HPC35" s="39"/>
      <c r="HPD35" s="39"/>
      <c r="HPE35" s="39"/>
      <c r="HPF35" s="39"/>
      <c r="HPG35" s="39"/>
      <c r="HPH35" s="39"/>
      <c r="HPI35" s="39"/>
      <c r="HPJ35" s="39"/>
      <c r="HPK35" s="39"/>
      <c r="HPL35" s="39"/>
      <c r="HPM35" s="39"/>
      <c r="HPN35" s="39"/>
      <c r="HPO35" s="39"/>
      <c r="HPP35" s="39"/>
      <c r="HPQ35" s="39"/>
      <c r="HPR35" s="39"/>
      <c r="HPS35" s="39"/>
      <c r="HPT35" s="39"/>
      <c r="HPU35" s="39"/>
      <c r="HPV35" s="39"/>
      <c r="HPW35" s="39"/>
      <c r="HPX35" s="39"/>
      <c r="HPY35" s="39"/>
      <c r="HPZ35" s="39"/>
      <c r="HQA35" s="39"/>
      <c r="HQB35" s="39"/>
      <c r="HQC35" s="39"/>
      <c r="HQD35" s="39"/>
      <c r="HQE35" s="39"/>
      <c r="HQF35" s="39"/>
      <c r="HQG35" s="39"/>
      <c r="HQH35" s="39"/>
      <c r="HQI35" s="39"/>
      <c r="HQJ35" s="39"/>
      <c r="HQK35" s="39"/>
      <c r="HQL35" s="39"/>
      <c r="HQM35" s="39"/>
      <c r="HQN35" s="39"/>
      <c r="HQO35" s="39"/>
      <c r="HQP35" s="39"/>
      <c r="HQQ35" s="39"/>
      <c r="HQR35" s="39"/>
      <c r="HQS35" s="39"/>
      <c r="HQT35" s="39"/>
      <c r="HQU35" s="39"/>
      <c r="HQV35" s="39"/>
      <c r="HQW35" s="39"/>
      <c r="HQX35" s="39"/>
      <c r="HQY35" s="39"/>
      <c r="HQZ35" s="39"/>
      <c r="HRA35" s="39"/>
      <c r="HRB35" s="39"/>
      <c r="HRC35" s="39"/>
      <c r="HRD35" s="39"/>
      <c r="HRE35" s="39"/>
      <c r="HRF35" s="39"/>
      <c r="HRG35" s="39"/>
      <c r="HRH35" s="39"/>
      <c r="HRI35" s="39"/>
      <c r="HRJ35" s="39"/>
      <c r="HRK35" s="39"/>
      <c r="HRL35" s="39"/>
      <c r="HRM35" s="39"/>
      <c r="HRN35" s="39"/>
      <c r="HRO35" s="39"/>
      <c r="HRP35" s="39"/>
      <c r="HRQ35" s="39"/>
      <c r="HRR35" s="39"/>
      <c r="HRS35" s="39"/>
      <c r="HRT35" s="39"/>
      <c r="HRU35" s="39"/>
      <c r="HRV35" s="39"/>
      <c r="HRW35" s="39"/>
      <c r="HRX35" s="39"/>
      <c r="HRY35" s="39"/>
      <c r="HRZ35" s="39"/>
      <c r="HSA35" s="39"/>
      <c r="HSB35" s="39"/>
      <c r="HSC35" s="39"/>
      <c r="HSD35" s="39"/>
      <c r="HSE35" s="39"/>
      <c r="HSF35" s="39"/>
      <c r="HSG35" s="39"/>
      <c r="HSH35" s="39"/>
      <c r="HSI35" s="39"/>
      <c r="HSJ35" s="39"/>
      <c r="HSK35" s="39"/>
      <c r="HSL35" s="39"/>
      <c r="HSM35" s="39"/>
      <c r="HSN35" s="39"/>
      <c r="HSO35" s="39"/>
      <c r="HSP35" s="39"/>
      <c r="HSQ35" s="39"/>
      <c r="HSR35" s="39"/>
      <c r="HSS35" s="39"/>
      <c r="HST35" s="39"/>
      <c r="HSU35" s="39"/>
      <c r="HSV35" s="39"/>
      <c r="HSW35" s="39"/>
      <c r="HSX35" s="39"/>
      <c r="HSY35" s="39"/>
      <c r="HSZ35" s="39"/>
      <c r="HTA35" s="39"/>
      <c r="HTB35" s="39"/>
      <c r="HTC35" s="39"/>
      <c r="HTD35" s="39"/>
      <c r="HTE35" s="39"/>
      <c r="HTF35" s="39"/>
      <c r="HTG35" s="39"/>
      <c r="HTH35" s="39"/>
      <c r="HTI35" s="39"/>
      <c r="HTJ35" s="39"/>
      <c r="HTK35" s="39"/>
      <c r="HTL35" s="39"/>
      <c r="HTM35" s="39"/>
      <c r="HTN35" s="39"/>
      <c r="HTO35" s="39"/>
      <c r="HTP35" s="39"/>
      <c r="HTQ35" s="39"/>
      <c r="HTR35" s="39"/>
      <c r="HTS35" s="39"/>
      <c r="HTT35" s="39"/>
      <c r="HTU35" s="39"/>
      <c r="HTV35" s="39"/>
      <c r="HTW35" s="39"/>
      <c r="HTX35" s="39"/>
      <c r="HTY35" s="39"/>
      <c r="HTZ35" s="39"/>
      <c r="HUA35" s="39"/>
      <c r="HUB35" s="39"/>
      <c r="HUC35" s="39"/>
      <c r="HUD35" s="39"/>
      <c r="HUE35" s="39"/>
      <c r="HUF35" s="39"/>
      <c r="HUG35" s="39"/>
      <c r="HUH35" s="39"/>
      <c r="HUI35" s="39"/>
      <c r="HUJ35" s="39"/>
      <c r="HUK35" s="39"/>
      <c r="HUL35" s="39"/>
      <c r="HUM35" s="39"/>
      <c r="HUN35" s="39"/>
      <c r="HUO35" s="39"/>
      <c r="HUP35" s="39"/>
      <c r="HUQ35" s="39"/>
      <c r="HUR35" s="39"/>
      <c r="HUS35" s="39"/>
      <c r="HUT35" s="39"/>
      <c r="HUU35" s="39"/>
      <c r="HUV35" s="39"/>
      <c r="HUW35" s="39"/>
      <c r="HUX35" s="39"/>
      <c r="HUY35" s="39"/>
      <c r="HUZ35" s="39"/>
      <c r="HVA35" s="39"/>
      <c r="HVB35" s="39"/>
      <c r="HVC35" s="39"/>
      <c r="HVD35" s="39"/>
      <c r="HVE35" s="39"/>
      <c r="HVF35" s="39"/>
      <c r="HVG35" s="39"/>
      <c r="HVH35" s="39"/>
      <c r="HVI35" s="39"/>
      <c r="HVJ35" s="39"/>
      <c r="HVK35" s="39"/>
      <c r="HVL35" s="39"/>
      <c r="HVM35" s="39"/>
      <c r="HVN35" s="39"/>
      <c r="HVO35" s="39"/>
      <c r="HVP35" s="39"/>
      <c r="HVQ35" s="39"/>
      <c r="HVR35" s="39"/>
      <c r="HVS35" s="39"/>
      <c r="HVT35" s="39"/>
      <c r="HVU35" s="39"/>
      <c r="HVV35" s="39"/>
      <c r="HVW35" s="39"/>
      <c r="HVX35" s="39"/>
      <c r="HVY35" s="39"/>
      <c r="HVZ35" s="39"/>
      <c r="HWA35" s="39"/>
      <c r="HWB35" s="39"/>
      <c r="HWC35" s="39"/>
      <c r="HWD35" s="39"/>
      <c r="HWE35" s="39"/>
      <c r="HWF35" s="39"/>
      <c r="HWG35" s="39"/>
      <c r="HWH35" s="39"/>
      <c r="HWI35" s="39"/>
      <c r="HWJ35" s="39"/>
      <c r="HWK35" s="39"/>
      <c r="HWL35" s="39"/>
      <c r="HWM35" s="39"/>
      <c r="HWN35" s="39"/>
      <c r="HWO35" s="39"/>
      <c r="HWP35" s="39"/>
      <c r="HWQ35" s="39"/>
      <c r="HWR35" s="39"/>
      <c r="HWS35" s="39"/>
      <c r="HWT35" s="39"/>
      <c r="HWU35" s="39"/>
      <c r="HWV35" s="39"/>
      <c r="HWW35" s="39"/>
      <c r="HWX35" s="39"/>
      <c r="HWY35" s="39"/>
      <c r="HWZ35" s="39"/>
      <c r="HXA35" s="39"/>
      <c r="HXB35" s="39"/>
      <c r="HXC35" s="39"/>
      <c r="HXD35" s="39"/>
      <c r="HXE35" s="39"/>
      <c r="HXF35" s="39"/>
      <c r="HXG35" s="39"/>
      <c r="HXH35" s="39"/>
      <c r="HXI35" s="39"/>
      <c r="HXJ35" s="39"/>
      <c r="HXK35" s="39"/>
      <c r="HXL35" s="39"/>
      <c r="HXM35" s="39"/>
      <c r="HXN35" s="39"/>
      <c r="HXO35" s="39"/>
      <c r="HXP35" s="39"/>
      <c r="HXQ35" s="39"/>
      <c r="HXR35" s="39"/>
      <c r="HXS35" s="39"/>
      <c r="HXT35" s="39"/>
      <c r="HXU35" s="39"/>
      <c r="HXV35" s="39"/>
      <c r="HXW35" s="39"/>
      <c r="HXX35" s="39"/>
      <c r="HXY35" s="39"/>
      <c r="HXZ35" s="39"/>
      <c r="HYA35" s="39"/>
      <c r="HYB35" s="39"/>
      <c r="HYC35" s="39"/>
      <c r="HYD35" s="39"/>
      <c r="HYE35" s="39"/>
      <c r="HYF35" s="39"/>
      <c r="HYG35" s="39"/>
      <c r="HYH35" s="39"/>
      <c r="HYI35" s="39"/>
      <c r="HYJ35" s="39"/>
      <c r="HYK35" s="39"/>
      <c r="HYL35" s="39"/>
      <c r="HYM35" s="39"/>
      <c r="HYN35" s="39"/>
      <c r="HYO35" s="39"/>
      <c r="HYP35" s="39"/>
      <c r="HYQ35" s="39"/>
      <c r="HYR35" s="39"/>
      <c r="HYS35" s="39"/>
      <c r="HYT35" s="39"/>
      <c r="HYU35" s="39"/>
      <c r="HYV35" s="39"/>
      <c r="HYW35" s="39"/>
      <c r="HYX35" s="39"/>
      <c r="HYY35" s="39"/>
      <c r="HYZ35" s="39"/>
      <c r="HZA35" s="39"/>
      <c r="HZB35" s="39"/>
      <c r="HZC35" s="39"/>
      <c r="HZD35" s="39"/>
      <c r="HZE35" s="39"/>
      <c r="HZF35" s="39"/>
      <c r="HZG35" s="39"/>
      <c r="HZH35" s="39"/>
      <c r="HZI35" s="39"/>
      <c r="HZJ35" s="39"/>
      <c r="HZK35" s="39"/>
      <c r="HZL35" s="39"/>
      <c r="HZM35" s="39"/>
      <c r="HZN35" s="39"/>
      <c r="HZO35" s="39"/>
      <c r="HZP35" s="39"/>
      <c r="HZQ35" s="39"/>
      <c r="HZR35" s="39"/>
      <c r="HZS35" s="39"/>
      <c r="HZT35" s="39"/>
      <c r="HZU35" s="39"/>
      <c r="HZV35" s="39"/>
      <c r="HZW35" s="39"/>
      <c r="HZX35" s="39"/>
      <c r="HZY35" s="39"/>
      <c r="HZZ35" s="39"/>
      <c r="IAA35" s="39"/>
      <c r="IAB35" s="39"/>
      <c r="IAC35" s="39"/>
      <c r="IAD35" s="39"/>
      <c r="IAE35" s="39"/>
      <c r="IAF35" s="39"/>
      <c r="IAG35" s="39"/>
      <c r="IAH35" s="39"/>
      <c r="IAI35" s="39"/>
      <c r="IAJ35" s="39"/>
      <c r="IAK35" s="39"/>
      <c r="IAL35" s="39"/>
      <c r="IAM35" s="39"/>
      <c r="IAN35" s="39"/>
      <c r="IAO35" s="39"/>
      <c r="IAP35" s="39"/>
      <c r="IAQ35" s="39"/>
      <c r="IAR35" s="39"/>
      <c r="IAS35" s="39"/>
      <c r="IAT35" s="39"/>
      <c r="IAU35" s="39"/>
      <c r="IAV35" s="39"/>
      <c r="IAW35" s="39"/>
      <c r="IAX35" s="39"/>
      <c r="IAY35" s="39"/>
      <c r="IAZ35" s="39"/>
      <c r="IBA35" s="39"/>
      <c r="IBB35" s="39"/>
      <c r="IBC35" s="39"/>
      <c r="IBD35" s="39"/>
      <c r="IBE35" s="39"/>
      <c r="IBF35" s="39"/>
      <c r="IBG35" s="39"/>
      <c r="IBH35" s="39"/>
      <c r="IBI35" s="39"/>
      <c r="IBJ35" s="39"/>
      <c r="IBK35" s="39"/>
      <c r="IBL35" s="39"/>
      <c r="IBM35" s="39"/>
      <c r="IBN35" s="39"/>
      <c r="IBO35" s="39"/>
      <c r="IBP35" s="39"/>
      <c r="IBQ35" s="39"/>
      <c r="IBR35" s="39"/>
      <c r="IBS35" s="39"/>
      <c r="IBT35" s="39"/>
      <c r="IBU35" s="39"/>
      <c r="IBV35" s="39"/>
      <c r="IBW35" s="39"/>
      <c r="IBX35" s="39"/>
      <c r="IBY35" s="39"/>
      <c r="IBZ35" s="39"/>
      <c r="ICA35" s="39"/>
      <c r="ICB35" s="39"/>
      <c r="ICC35" s="39"/>
      <c r="ICD35" s="39"/>
      <c r="ICE35" s="39"/>
      <c r="ICF35" s="39"/>
      <c r="ICG35" s="39"/>
      <c r="ICH35" s="39"/>
      <c r="ICI35" s="39"/>
      <c r="ICJ35" s="39"/>
      <c r="ICK35" s="39"/>
      <c r="ICL35" s="39"/>
      <c r="ICM35" s="39"/>
      <c r="ICN35" s="39"/>
      <c r="ICO35" s="39"/>
      <c r="ICP35" s="39"/>
      <c r="ICQ35" s="39"/>
      <c r="ICR35" s="39"/>
      <c r="ICS35" s="39"/>
      <c r="ICT35" s="39"/>
      <c r="ICU35" s="39"/>
      <c r="ICV35" s="39"/>
      <c r="ICW35" s="39"/>
      <c r="ICX35" s="39"/>
      <c r="ICY35" s="39"/>
      <c r="ICZ35" s="39"/>
      <c r="IDA35" s="39"/>
      <c r="IDB35" s="39"/>
      <c r="IDC35" s="39"/>
      <c r="IDD35" s="39"/>
      <c r="IDE35" s="39"/>
      <c r="IDF35" s="39"/>
      <c r="IDG35" s="39"/>
      <c r="IDH35" s="39"/>
      <c r="IDI35" s="39"/>
      <c r="IDJ35" s="39"/>
      <c r="IDK35" s="39"/>
      <c r="IDL35" s="39"/>
      <c r="IDM35" s="39"/>
      <c r="IDN35" s="39"/>
      <c r="IDO35" s="39"/>
      <c r="IDP35" s="39"/>
      <c r="IDQ35" s="39"/>
      <c r="IDR35" s="39"/>
      <c r="IDS35" s="39"/>
      <c r="IDT35" s="39"/>
      <c r="IDU35" s="39"/>
      <c r="IDV35" s="39"/>
      <c r="IDW35" s="39"/>
      <c r="IDX35" s="39"/>
      <c r="IDY35" s="39"/>
      <c r="IDZ35" s="39"/>
      <c r="IEA35" s="39"/>
      <c r="IEB35" s="39"/>
      <c r="IEC35" s="39"/>
      <c r="IED35" s="39"/>
      <c r="IEE35" s="39"/>
      <c r="IEF35" s="39"/>
      <c r="IEG35" s="39"/>
      <c r="IEH35" s="39"/>
      <c r="IEI35" s="39"/>
      <c r="IEJ35" s="39"/>
      <c r="IEK35" s="39"/>
      <c r="IEL35" s="39"/>
      <c r="IEM35" s="39"/>
      <c r="IEN35" s="39"/>
      <c r="IEO35" s="39"/>
      <c r="IEP35" s="39"/>
      <c r="IEQ35" s="39"/>
      <c r="IER35" s="39"/>
      <c r="IES35" s="39"/>
      <c r="IET35" s="39"/>
      <c r="IEU35" s="39"/>
      <c r="IEV35" s="39"/>
      <c r="IEW35" s="39"/>
      <c r="IEX35" s="39"/>
      <c r="IEY35" s="39"/>
      <c r="IEZ35" s="39"/>
      <c r="IFA35" s="39"/>
      <c r="IFB35" s="39"/>
      <c r="IFC35" s="39"/>
      <c r="IFD35" s="39"/>
      <c r="IFE35" s="39"/>
      <c r="IFF35" s="39"/>
      <c r="IFG35" s="39"/>
      <c r="IFH35" s="39"/>
      <c r="IFI35" s="39"/>
      <c r="IFJ35" s="39"/>
      <c r="IFK35" s="39"/>
      <c r="IFL35" s="39"/>
      <c r="IFM35" s="39"/>
      <c r="IFN35" s="39"/>
      <c r="IFO35" s="39"/>
      <c r="IFP35" s="39"/>
      <c r="IFQ35" s="39"/>
      <c r="IFR35" s="39"/>
      <c r="IFS35" s="39"/>
      <c r="IFT35" s="39"/>
      <c r="IFU35" s="39"/>
      <c r="IFV35" s="39"/>
      <c r="IFW35" s="39"/>
      <c r="IFX35" s="39"/>
      <c r="IFY35" s="39"/>
      <c r="IFZ35" s="39"/>
      <c r="IGA35" s="39"/>
      <c r="IGB35" s="39"/>
      <c r="IGC35" s="39"/>
      <c r="IGD35" s="39"/>
      <c r="IGE35" s="39"/>
      <c r="IGF35" s="39"/>
      <c r="IGG35" s="39"/>
      <c r="IGH35" s="39"/>
      <c r="IGI35" s="39"/>
      <c r="IGJ35" s="39"/>
      <c r="IGK35" s="39"/>
      <c r="IGL35" s="39"/>
      <c r="IGM35" s="39"/>
      <c r="IGN35" s="39"/>
      <c r="IGO35" s="39"/>
      <c r="IGP35" s="39"/>
      <c r="IGQ35" s="39"/>
      <c r="IGR35" s="39"/>
      <c r="IGS35" s="39"/>
      <c r="IGT35" s="39"/>
      <c r="IGU35" s="39"/>
      <c r="IGV35" s="39"/>
      <c r="IGW35" s="39"/>
      <c r="IGX35" s="39"/>
      <c r="IGY35" s="39"/>
      <c r="IGZ35" s="39"/>
      <c r="IHA35" s="39"/>
      <c r="IHB35" s="39"/>
      <c r="IHC35" s="39"/>
      <c r="IHD35" s="39"/>
      <c r="IHE35" s="39"/>
      <c r="IHF35" s="39"/>
      <c r="IHG35" s="39"/>
      <c r="IHH35" s="39"/>
      <c r="IHI35" s="39"/>
      <c r="IHJ35" s="39"/>
      <c r="IHK35" s="39"/>
      <c r="IHL35" s="39"/>
      <c r="IHM35" s="39"/>
      <c r="IHN35" s="39"/>
      <c r="IHO35" s="39"/>
      <c r="IHP35" s="39"/>
      <c r="IHQ35" s="39"/>
      <c r="IHR35" s="39"/>
      <c r="IHS35" s="39"/>
      <c r="IHT35" s="39"/>
      <c r="IHU35" s="39"/>
      <c r="IHV35" s="39"/>
      <c r="IHW35" s="39"/>
      <c r="IHX35" s="39"/>
      <c r="IHY35" s="39"/>
      <c r="IHZ35" s="39"/>
      <c r="IIA35" s="39"/>
      <c r="IIB35" s="39"/>
      <c r="IIC35" s="39"/>
      <c r="IID35" s="39"/>
      <c r="IIE35" s="39"/>
      <c r="IIF35" s="39"/>
      <c r="IIG35" s="39"/>
      <c r="IIH35" s="39"/>
      <c r="III35" s="39"/>
      <c r="IIJ35" s="39"/>
      <c r="IIK35" s="39"/>
      <c r="IIL35" s="39"/>
      <c r="IIM35" s="39"/>
      <c r="IIN35" s="39"/>
      <c r="IIO35" s="39"/>
      <c r="IIP35" s="39"/>
      <c r="IIQ35" s="39"/>
      <c r="IIR35" s="39"/>
      <c r="IIS35" s="39"/>
      <c r="IIT35" s="39"/>
      <c r="IIU35" s="39"/>
      <c r="IIV35" s="39"/>
      <c r="IIW35" s="39"/>
      <c r="IIX35" s="39"/>
      <c r="IIY35" s="39"/>
      <c r="IIZ35" s="39"/>
      <c r="IJA35" s="39"/>
      <c r="IJB35" s="39"/>
      <c r="IJC35" s="39"/>
      <c r="IJD35" s="39"/>
      <c r="IJE35" s="39"/>
      <c r="IJF35" s="39"/>
      <c r="IJG35" s="39"/>
      <c r="IJH35" s="39"/>
      <c r="IJI35" s="39"/>
      <c r="IJJ35" s="39"/>
      <c r="IJK35" s="39"/>
      <c r="IJL35" s="39"/>
      <c r="IJM35" s="39"/>
      <c r="IJN35" s="39"/>
      <c r="IJO35" s="39"/>
      <c r="IJP35" s="39"/>
      <c r="IJQ35" s="39"/>
      <c r="IJR35" s="39"/>
      <c r="IJS35" s="39"/>
      <c r="IJT35" s="39"/>
      <c r="IJU35" s="39"/>
      <c r="IJV35" s="39"/>
      <c r="IJW35" s="39"/>
      <c r="IJX35" s="39"/>
      <c r="IJY35" s="39"/>
      <c r="IJZ35" s="39"/>
      <c r="IKA35" s="39"/>
      <c r="IKB35" s="39"/>
      <c r="IKC35" s="39"/>
      <c r="IKD35" s="39"/>
      <c r="IKE35" s="39"/>
      <c r="IKF35" s="39"/>
      <c r="IKG35" s="39"/>
      <c r="IKH35" s="39"/>
      <c r="IKI35" s="39"/>
      <c r="IKJ35" s="39"/>
      <c r="IKK35" s="39"/>
      <c r="IKL35" s="39"/>
      <c r="IKM35" s="39"/>
      <c r="IKN35" s="39"/>
      <c r="IKO35" s="39"/>
      <c r="IKP35" s="39"/>
      <c r="IKQ35" s="39"/>
      <c r="IKR35" s="39"/>
      <c r="IKS35" s="39"/>
      <c r="IKT35" s="39"/>
      <c r="IKU35" s="39"/>
      <c r="IKV35" s="39"/>
      <c r="IKW35" s="39"/>
      <c r="IKX35" s="39"/>
      <c r="IKY35" s="39"/>
      <c r="IKZ35" s="39"/>
      <c r="ILA35" s="39"/>
      <c r="ILB35" s="39"/>
      <c r="ILC35" s="39"/>
      <c r="ILD35" s="39"/>
      <c r="ILE35" s="39"/>
      <c r="ILF35" s="39"/>
      <c r="ILG35" s="39"/>
      <c r="ILH35" s="39"/>
      <c r="ILI35" s="39"/>
      <c r="ILJ35" s="39"/>
      <c r="ILK35" s="39"/>
      <c r="ILL35" s="39"/>
      <c r="ILM35" s="39"/>
      <c r="ILN35" s="39"/>
      <c r="ILO35" s="39"/>
      <c r="ILP35" s="39"/>
      <c r="ILQ35" s="39"/>
      <c r="ILR35" s="39"/>
      <c r="ILS35" s="39"/>
      <c r="ILT35" s="39"/>
      <c r="ILU35" s="39"/>
      <c r="ILV35" s="39"/>
      <c r="ILW35" s="39"/>
      <c r="ILX35" s="39"/>
      <c r="ILY35" s="39"/>
      <c r="ILZ35" s="39"/>
      <c r="IMA35" s="39"/>
      <c r="IMB35" s="39"/>
      <c r="IMC35" s="39"/>
      <c r="IMD35" s="39"/>
      <c r="IME35" s="39"/>
      <c r="IMF35" s="39"/>
      <c r="IMG35" s="39"/>
      <c r="IMH35" s="39"/>
      <c r="IMI35" s="39"/>
      <c r="IMJ35" s="39"/>
      <c r="IMK35" s="39"/>
      <c r="IML35" s="39"/>
      <c r="IMM35" s="39"/>
      <c r="IMN35" s="39"/>
      <c r="IMO35" s="39"/>
      <c r="IMP35" s="39"/>
      <c r="IMQ35" s="39"/>
      <c r="IMR35" s="39"/>
      <c r="IMS35" s="39"/>
      <c r="IMT35" s="39"/>
      <c r="IMU35" s="39"/>
      <c r="IMV35" s="39"/>
      <c r="IMW35" s="39"/>
      <c r="IMX35" s="39"/>
      <c r="IMY35" s="39"/>
      <c r="IMZ35" s="39"/>
      <c r="INA35" s="39"/>
      <c r="INB35" s="39"/>
      <c r="INC35" s="39"/>
      <c r="IND35" s="39"/>
      <c r="INE35" s="39"/>
      <c r="INF35" s="39"/>
      <c r="ING35" s="39"/>
      <c r="INH35" s="39"/>
      <c r="INI35" s="39"/>
      <c r="INJ35" s="39"/>
      <c r="INK35" s="39"/>
      <c r="INL35" s="39"/>
      <c r="INM35" s="39"/>
      <c r="INN35" s="39"/>
      <c r="INO35" s="39"/>
      <c r="INP35" s="39"/>
      <c r="INQ35" s="39"/>
      <c r="INR35" s="39"/>
      <c r="INS35" s="39"/>
      <c r="INT35" s="39"/>
      <c r="INU35" s="39"/>
      <c r="INV35" s="39"/>
      <c r="INW35" s="39"/>
      <c r="INX35" s="39"/>
      <c r="INY35" s="39"/>
      <c r="INZ35" s="39"/>
      <c r="IOA35" s="39"/>
      <c r="IOB35" s="39"/>
      <c r="IOC35" s="39"/>
      <c r="IOD35" s="39"/>
      <c r="IOE35" s="39"/>
      <c r="IOF35" s="39"/>
      <c r="IOG35" s="39"/>
      <c r="IOH35" s="39"/>
      <c r="IOI35" s="39"/>
      <c r="IOJ35" s="39"/>
      <c r="IOK35" s="39"/>
      <c r="IOL35" s="39"/>
      <c r="IOM35" s="39"/>
      <c r="ION35" s="39"/>
      <c r="IOO35" s="39"/>
      <c r="IOP35" s="39"/>
      <c r="IOQ35" s="39"/>
      <c r="IOR35" s="39"/>
      <c r="IOS35" s="39"/>
      <c r="IOT35" s="39"/>
      <c r="IOU35" s="39"/>
      <c r="IOV35" s="39"/>
      <c r="IOW35" s="39"/>
      <c r="IOX35" s="39"/>
      <c r="IOY35" s="39"/>
      <c r="IOZ35" s="39"/>
      <c r="IPA35" s="39"/>
      <c r="IPB35" s="39"/>
      <c r="IPC35" s="39"/>
      <c r="IPD35" s="39"/>
      <c r="IPE35" s="39"/>
      <c r="IPF35" s="39"/>
      <c r="IPG35" s="39"/>
      <c r="IPH35" s="39"/>
      <c r="IPI35" s="39"/>
      <c r="IPJ35" s="39"/>
      <c r="IPK35" s="39"/>
      <c r="IPL35" s="39"/>
      <c r="IPM35" s="39"/>
      <c r="IPN35" s="39"/>
      <c r="IPO35" s="39"/>
      <c r="IPP35" s="39"/>
      <c r="IPQ35" s="39"/>
      <c r="IPR35" s="39"/>
      <c r="IPS35" s="39"/>
      <c r="IPT35" s="39"/>
      <c r="IPU35" s="39"/>
      <c r="IPV35" s="39"/>
      <c r="IPW35" s="39"/>
      <c r="IPX35" s="39"/>
      <c r="IPY35" s="39"/>
      <c r="IPZ35" s="39"/>
      <c r="IQA35" s="39"/>
      <c r="IQB35" s="39"/>
      <c r="IQC35" s="39"/>
      <c r="IQD35" s="39"/>
      <c r="IQE35" s="39"/>
      <c r="IQF35" s="39"/>
      <c r="IQG35" s="39"/>
      <c r="IQH35" s="39"/>
      <c r="IQI35" s="39"/>
      <c r="IQJ35" s="39"/>
      <c r="IQK35" s="39"/>
      <c r="IQL35" s="39"/>
      <c r="IQM35" s="39"/>
      <c r="IQN35" s="39"/>
      <c r="IQO35" s="39"/>
      <c r="IQP35" s="39"/>
      <c r="IQQ35" s="39"/>
      <c r="IQR35" s="39"/>
      <c r="IQS35" s="39"/>
      <c r="IQT35" s="39"/>
      <c r="IQU35" s="39"/>
      <c r="IQV35" s="39"/>
      <c r="IQW35" s="39"/>
      <c r="IQX35" s="39"/>
      <c r="IQY35" s="39"/>
      <c r="IQZ35" s="39"/>
      <c r="IRA35" s="39"/>
      <c r="IRB35" s="39"/>
      <c r="IRC35" s="39"/>
      <c r="IRD35" s="39"/>
      <c r="IRE35" s="39"/>
      <c r="IRF35" s="39"/>
      <c r="IRG35" s="39"/>
      <c r="IRH35" s="39"/>
      <c r="IRI35" s="39"/>
      <c r="IRJ35" s="39"/>
      <c r="IRK35" s="39"/>
      <c r="IRL35" s="39"/>
      <c r="IRM35" s="39"/>
      <c r="IRN35" s="39"/>
      <c r="IRO35" s="39"/>
      <c r="IRP35" s="39"/>
      <c r="IRQ35" s="39"/>
      <c r="IRR35" s="39"/>
      <c r="IRS35" s="39"/>
      <c r="IRT35" s="39"/>
      <c r="IRU35" s="39"/>
      <c r="IRV35" s="39"/>
      <c r="IRW35" s="39"/>
      <c r="IRX35" s="39"/>
      <c r="IRY35" s="39"/>
      <c r="IRZ35" s="39"/>
      <c r="ISA35" s="39"/>
      <c r="ISB35" s="39"/>
      <c r="ISC35" s="39"/>
      <c r="ISD35" s="39"/>
      <c r="ISE35" s="39"/>
      <c r="ISF35" s="39"/>
      <c r="ISG35" s="39"/>
      <c r="ISH35" s="39"/>
      <c r="ISI35" s="39"/>
      <c r="ISJ35" s="39"/>
      <c r="ISK35" s="39"/>
      <c r="ISL35" s="39"/>
      <c r="ISM35" s="39"/>
      <c r="ISN35" s="39"/>
      <c r="ISO35" s="39"/>
      <c r="ISP35" s="39"/>
      <c r="ISQ35" s="39"/>
      <c r="ISR35" s="39"/>
      <c r="ISS35" s="39"/>
      <c r="IST35" s="39"/>
      <c r="ISU35" s="39"/>
      <c r="ISV35" s="39"/>
      <c r="ISW35" s="39"/>
      <c r="ISX35" s="39"/>
      <c r="ISY35" s="39"/>
      <c r="ISZ35" s="39"/>
      <c r="ITA35" s="39"/>
      <c r="ITB35" s="39"/>
      <c r="ITC35" s="39"/>
      <c r="ITD35" s="39"/>
      <c r="ITE35" s="39"/>
      <c r="ITF35" s="39"/>
      <c r="ITG35" s="39"/>
      <c r="ITH35" s="39"/>
      <c r="ITI35" s="39"/>
      <c r="ITJ35" s="39"/>
      <c r="ITK35" s="39"/>
      <c r="ITL35" s="39"/>
      <c r="ITM35" s="39"/>
      <c r="ITN35" s="39"/>
      <c r="ITO35" s="39"/>
      <c r="ITP35" s="39"/>
      <c r="ITQ35" s="39"/>
      <c r="ITR35" s="39"/>
      <c r="ITS35" s="39"/>
      <c r="ITT35" s="39"/>
      <c r="ITU35" s="39"/>
      <c r="ITV35" s="39"/>
      <c r="ITW35" s="39"/>
      <c r="ITX35" s="39"/>
      <c r="ITY35" s="39"/>
      <c r="ITZ35" s="39"/>
      <c r="IUA35" s="39"/>
      <c r="IUB35" s="39"/>
      <c r="IUC35" s="39"/>
      <c r="IUD35" s="39"/>
      <c r="IUE35" s="39"/>
      <c r="IUF35" s="39"/>
      <c r="IUG35" s="39"/>
      <c r="IUH35" s="39"/>
      <c r="IUI35" s="39"/>
      <c r="IUJ35" s="39"/>
      <c r="IUK35" s="39"/>
      <c r="IUL35" s="39"/>
      <c r="IUM35" s="39"/>
      <c r="IUN35" s="39"/>
      <c r="IUO35" s="39"/>
      <c r="IUP35" s="39"/>
      <c r="IUQ35" s="39"/>
      <c r="IUR35" s="39"/>
      <c r="IUS35" s="39"/>
      <c r="IUT35" s="39"/>
      <c r="IUU35" s="39"/>
      <c r="IUV35" s="39"/>
      <c r="IUW35" s="39"/>
      <c r="IUX35" s="39"/>
      <c r="IUY35" s="39"/>
      <c r="IUZ35" s="39"/>
      <c r="IVA35" s="39"/>
      <c r="IVB35" s="39"/>
      <c r="IVC35" s="39"/>
      <c r="IVD35" s="39"/>
      <c r="IVE35" s="39"/>
      <c r="IVF35" s="39"/>
      <c r="IVG35" s="39"/>
      <c r="IVH35" s="39"/>
      <c r="IVI35" s="39"/>
      <c r="IVJ35" s="39"/>
      <c r="IVK35" s="39"/>
      <c r="IVL35" s="39"/>
      <c r="IVM35" s="39"/>
      <c r="IVN35" s="39"/>
      <c r="IVO35" s="39"/>
      <c r="IVP35" s="39"/>
      <c r="IVQ35" s="39"/>
      <c r="IVR35" s="39"/>
      <c r="IVS35" s="39"/>
      <c r="IVT35" s="39"/>
      <c r="IVU35" s="39"/>
      <c r="IVV35" s="39"/>
      <c r="IVW35" s="39"/>
      <c r="IVX35" s="39"/>
      <c r="IVY35" s="39"/>
      <c r="IVZ35" s="39"/>
      <c r="IWA35" s="39"/>
      <c r="IWB35" s="39"/>
      <c r="IWC35" s="39"/>
      <c r="IWD35" s="39"/>
      <c r="IWE35" s="39"/>
      <c r="IWF35" s="39"/>
      <c r="IWG35" s="39"/>
      <c r="IWH35" s="39"/>
      <c r="IWI35" s="39"/>
      <c r="IWJ35" s="39"/>
      <c r="IWK35" s="39"/>
      <c r="IWL35" s="39"/>
      <c r="IWM35" s="39"/>
      <c r="IWN35" s="39"/>
      <c r="IWO35" s="39"/>
      <c r="IWP35" s="39"/>
      <c r="IWQ35" s="39"/>
      <c r="IWR35" s="39"/>
      <c r="IWS35" s="39"/>
      <c r="IWT35" s="39"/>
      <c r="IWU35" s="39"/>
      <c r="IWV35" s="39"/>
      <c r="IWW35" s="39"/>
      <c r="IWX35" s="39"/>
      <c r="IWY35" s="39"/>
      <c r="IWZ35" s="39"/>
      <c r="IXA35" s="39"/>
      <c r="IXB35" s="39"/>
      <c r="IXC35" s="39"/>
      <c r="IXD35" s="39"/>
      <c r="IXE35" s="39"/>
      <c r="IXF35" s="39"/>
      <c r="IXG35" s="39"/>
      <c r="IXH35" s="39"/>
      <c r="IXI35" s="39"/>
      <c r="IXJ35" s="39"/>
      <c r="IXK35" s="39"/>
      <c r="IXL35" s="39"/>
      <c r="IXM35" s="39"/>
      <c r="IXN35" s="39"/>
      <c r="IXO35" s="39"/>
      <c r="IXP35" s="39"/>
      <c r="IXQ35" s="39"/>
      <c r="IXR35" s="39"/>
      <c r="IXS35" s="39"/>
      <c r="IXT35" s="39"/>
      <c r="IXU35" s="39"/>
      <c r="IXV35" s="39"/>
      <c r="IXW35" s="39"/>
      <c r="IXX35" s="39"/>
      <c r="IXY35" s="39"/>
      <c r="IXZ35" s="39"/>
      <c r="IYA35" s="39"/>
      <c r="IYB35" s="39"/>
      <c r="IYC35" s="39"/>
      <c r="IYD35" s="39"/>
      <c r="IYE35" s="39"/>
      <c r="IYF35" s="39"/>
      <c r="IYG35" s="39"/>
      <c r="IYH35" s="39"/>
      <c r="IYI35" s="39"/>
      <c r="IYJ35" s="39"/>
      <c r="IYK35" s="39"/>
      <c r="IYL35" s="39"/>
      <c r="IYM35" s="39"/>
      <c r="IYN35" s="39"/>
      <c r="IYO35" s="39"/>
      <c r="IYP35" s="39"/>
      <c r="IYQ35" s="39"/>
      <c r="IYR35" s="39"/>
      <c r="IYS35" s="39"/>
      <c r="IYT35" s="39"/>
      <c r="IYU35" s="39"/>
      <c r="IYV35" s="39"/>
      <c r="IYW35" s="39"/>
      <c r="IYX35" s="39"/>
      <c r="IYY35" s="39"/>
      <c r="IYZ35" s="39"/>
      <c r="IZA35" s="39"/>
      <c r="IZB35" s="39"/>
      <c r="IZC35" s="39"/>
      <c r="IZD35" s="39"/>
      <c r="IZE35" s="39"/>
      <c r="IZF35" s="39"/>
      <c r="IZG35" s="39"/>
      <c r="IZH35" s="39"/>
      <c r="IZI35" s="39"/>
      <c r="IZJ35" s="39"/>
      <c r="IZK35" s="39"/>
      <c r="IZL35" s="39"/>
      <c r="IZM35" s="39"/>
      <c r="IZN35" s="39"/>
      <c r="IZO35" s="39"/>
      <c r="IZP35" s="39"/>
      <c r="IZQ35" s="39"/>
      <c r="IZR35" s="39"/>
      <c r="IZS35" s="39"/>
      <c r="IZT35" s="39"/>
      <c r="IZU35" s="39"/>
      <c r="IZV35" s="39"/>
      <c r="IZW35" s="39"/>
      <c r="IZX35" s="39"/>
      <c r="IZY35" s="39"/>
      <c r="IZZ35" s="39"/>
      <c r="JAA35" s="39"/>
      <c r="JAB35" s="39"/>
      <c r="JAC35" s="39"/>
      <c r="JAD35" s="39"/>
      <c r="JAE35" s="39"/>
      <c r="JAF35" s="39"/>
      <c r="JAG35" s="39"/>
      <c r="JAH35" s="39"/>
      <c r="JAI35" s="39"/>
      <c r="JAJ35" s="39"/>
      <c r="JAK35" s="39"/>
      <c r="JAL35" s="39"/>
      <c r="JAM35" s="39"/>
      <c r="JAN35" s="39"/>
      <c r="JAO35" s="39"/>
      <c r="JAP35" s="39"/>
      <c r="JAQ35" s="39"/>
      <c r="JAR35" s="39"/>
      <c r="JAS35" s="39"/>
      <c r="JAT35" s="39"/>
      <c r="JAU35" s="39"/>
      <c r="JAV35" s="39"/>
      <c r="JAW35" s="39"/>
      <c r="JAX35" s="39"/>
      <c r="JAY35" s="39"/>
      <c r="JAZ35" s="39"/>
      <c r="JBA35" s="39"/>
      <c r="JBB35" s="39"/>
      <c r="JBC35" s="39"/>
      <c r="JBD35" s="39"/>
      <c r="JBE35" s="39"/>
      <c r="JBF35" s="39"/>
      <c r="JBG35" s="39"/>
      <c r="JBH35" s="39"/>
      <c r="JBI35" s="39"/>
      <c r="JBJ35" s="39"/>
      <c r="JBK35" s="39"/>
      <c r="JBL35" s="39"/>
      <c r="JBM35" s="39"/>
      <c r="JBN35" s="39"/>
      <c r="JBO35" s="39"/>
      <c r="JBP35" s="39"/>
      <c r="JBQ35" s="39"/>
      <c r="JBR35" s="39"/>
      <c r="JBS35" s="39"/>
      <c r="JBT35" s="39"/>
      <c r="JBU35" s="39"/>
      <c r="JBV35" s="39"/>
      <c r="JBW35" s="39"/>
      <c r="JBX35" s="39"/>
      <c r="JBY35" s="39"/>
      <c r="JBZ35" s="39"/>
      <c r="JCA35" s="39"/>
      <c r="JCB35" s="39"/>
      <c r="JCC35" s="39"/>
      <c r="JCD35" s="39"/>
      <c r="JCE35" s="39"/>
      <c r="JCF35" s="39"/>
      <c r="JCG35" s="39"/>
      <c r="JCH35" s="39"/>
      <c r="JCI35" s="39"/>
      <c r="JCJ35" s="39"/>
      <c r="JCK35" s="39"/>
      <c r="JCL35" s="39"/>
      <c r="JCM35" s="39"/>
      <c r="JCN35" s="39"/>
      <c r="JCO35" s="39"/>
      <c r="JCP35" s="39"/>
      <c r="JCQ35" s="39"/>
      <c r="JCR35" s="39"/>
      <c r="JCS35" s="39"/>
      <c r="JCT35" s="39"/>
      <c r="JCU35" s="39"/>
      <c r="JCV35" s="39"/>
      <c r="JCW35" s="39"/>
      <c r="JCX35" s="39"/>
      <c r="JCY35" s="39"/>
      <c r="JCZ35" s="39"/>
      <c r="JDA35" s="39"/>
      <c r="JDB35" s="39"/>
      <c r="JDC35" s="39"/>
      <c r="JDD35" s="39"/>
      <c r="JDE35" s="39"/>
      <c r="JDF35" s="39"/>
      <c r="JDG35" s="39"/>
      <c r="JDH35" s="39"/>
      <c r="JDI35" s="39"/>
      <c r="JDJ35" s="39"/>
      <c r="JDK35" s="39"/>
      <c r="JDL35" s="39"/>
      <c r="JDM35" s="39"/>
      <c r="JDN35" s="39"/>
      <c r="JDO35" s="39"/>
      <c r="JDP35" s="39"/>
      <c r="JDQ35" s="39"/>
      <c r="JDR35" s="39"/>
      <c r="JDS35" s="39"/>
      <c r="JDT35" s="39"/>
      <c r="JDU35" s="39"/>
      <c r="JDV35" s="39"/>
      <c r="JDW35" s="39"/>
      <c r="JDX35" s="39"/>
      <c r="JDY35" s="39"/>
      <c r="JDZ35" s="39"/>
      <c r="JEA35" s="39"/>
      <c r="JEB35" s="39"/>
      <c r="JEC35" s="39"/>
      <c r="JED35" s="39"/>
      <c r="JEE35" s="39"/>
      <c r="JEF35" s="39"/>
      <c r="JEG35" s="39"/>
      <c r="JEH35" s="39"/>
      <c r="JEI35" s="39"/>
      <c r="JEJ35" s="39"/>
      <c r="JEK35" s="39"/>
      <c r="JEL35" s="39"/>
      <c r="JEM35" s="39"/>
      <c r="JEN35" s="39"/>
      <c r="JEO35" s="39"/>
      <c r="JEP35" s="39"/>
      <c r="JEQ35" s="39"/>
      <c r="JER35" s="39"/>
      <c r="JES35" s="39"/>
      <c r="JET35" s="39"/>
      <c r="JEU35" s="39"/>
      <c r="JEV35" s="39"/>
      <c r="JEW35" s="39"/>
      <c r="JEX35" s="39"/>
      <c r="JEY35" s="39"/>
      <c r="JEZ35" s="39"/>
      <c r="JFA35" s="39"/>
      <c r="JFB35" s="39"/>
      <c r="JFC35" s="39"/>
      <c r="JFD35" s="39"/>
      <c r="JFE35" s="39"/>
      <c r="JFF35" s="39"/>
      <c r="JFG35" s="39"/>
      <c r="JFH35" s="39"/>
      <c r="JFI35" s="39"/>
      <c r="JFJ35" s="39"/>
      <c r="JFK35" s="39"/>
      <c r="JFL35" s="39"/>
      <c r="JFM35" s="39"/>
      <c r="JFN35" s="39"/>
      <c r="JFO35" s="39"/>
      <c r="JFP35" s="39"/>
      <c r="JFQ35" s="39"/>
      <c r="JFR35" s="39"/>
      <c r="JFS35" s="39"/>
      <c r="JFT35" s="39"/>
      <c r="JFU35" s="39"/>
      <c r="JFV35" s="39"/>
      <c r="JFW35" s="39"/>
      <c r="JFX35" s="39"/>
      <c r="JFY35" s="39"/>
      <c r="JFZ35" s="39"/>
      <c r="JGA35" s="39"/>
      <c r="JGB35" s="39"/>
      <c r="JGC35" s="39"/>
      <c r="JGD35" s="39"/>
      <c r="JGE35" s="39"/>
      <c r="JGF35" s="39"/>
      <c r="JGG35" s="39"/>
      <c r="JGH35" s="39"/>
      <c r="JGI35" s="39"/>
      <c r="JGJ35" s="39"/>
      <c r="JGK35" s="39"/>
      <c r="JGL35" s="39"/>
      <c r="JGM35" s="39"/>
      <c r="JGN35" s="39"/>
      <c r="JGO35" s="39"/>
      <c r="JGP35" s="39"/>
      <c r="JGQ35" s="39"/>
      <c r="JGR35" s="39"/>
      <c r="JGS35" s="39"/>
      <c r="JGT35" s="39"/>
      <c r="JGU35" s="39"/>
      <c r="JGV35" s="39"/>
      <c r="JGW35" s="39"/>
      <c r="JGX35" s="39"/>
      <c r="JGY35" s="39"/>
      <c r="JGZ35" s="39"/>
      <c r="JHA35" s="39"/>
      <c r="JHB35" s="39"/>
      <c r="JHC35" s="39"/>
      <c r="JHD35" s="39"/>
      <c r="JHE35" s="39"/>
      <c r="JHF35" s="39"/>
      <c r="JHG35" s="39"/>
      <c r="JHH35" s="39"/>
      <c r="JHI35" s="39"/>
      <c r="JHJ35" s="39"/>
      <c r="JHK35" s="39"/>
      <c r="JHL35" s="39"/>
      <c r="JHM35" s="39"/>
      <c r="JHN35" s="39"/>
      <c r="JHO35" s="39"/>
      <c r="JHP35" s="39"/>
      <c r="JHQ35" s="39"/>
      <c r="JHR35" s="39"/>
      <c r="JHS35" s="39"/>
      <c r="JHT35" s="39"/>
      <c r="JHU35" s="39"/>
      <c r="JHV35" s="39"/>
      <c r="JHW35" s="39"/>
      <c r="JHX35" s="39"/>
      <c r="JHY35" s="39"/>
      <c r="JHZ35" s="39"/>
      <c r="JIA35" s="39"/>
      <c r="JIB35" s="39"/>
      <c r="JIC35" s="39"/>
      <c r="JID35" s="39"/>
      <c r="JIE35" s="39"/>
      <c r="JIF35" s="39"/>
      <c r="JIG35" s="39"/>
      <c r="JIH35" s="39"/>
      <c r="JII35" s="39"/>
      <c r="JIJ35" s="39"/>
      <c r="JIK35" s="39"/>
      <c r="JIL35" s="39"/>
      <c r="JIM35" s="39"/>
      <c r="JIN35" s="39"/>
      <c r="JIO35" s="39"/>
      <c r="JIP35" s="39"/>
      <c r="JIQ35" s="39"/>
      <c r="JIR35" s="39"/>
      <c r="JIS35" s="39"/>
      <c r="JIT35" s="39"/>
      <c r="JIU35" s="39"/>
      <c r="JIV35" s="39"/>
      <c r="JIW35" s="39"/>
      <c r="JIX35" s="39"/>
      <c r="JIY35" s="39"/>
      <c r="JIZ35" s="39"/>
      <c r="JJA35" s="39"/>
      <c r="JJB35" s="39"/>
      <c r="JJC35" s="39"/>
      <c r="JJD35" s="39"/>
      <c r="JJE35" s="39"/>
      <c r="JJF35" s="39"/>
      <c r="JJG35" s="39"/>
      <c r="JJH35" s="39"/>
      <c r="JJI35" s="39"/>
      <c r="JJJ35" s="39"/>
      <c r="JJK35" s="39"/>
      <c r="JJL35" s="39"/>
      <c r="JJM35" s="39"/>
      <c r="JJN35" s="39"/>
      <c r="JJO35" s="39"/>
      <c r="JJP35" s="39"/>
      <c r="JJQ35" s="39"/>
      <c r="JJR35" s="39"/>
      <c r="JJS35" s="39"/>
      <c r="JJT35" s="39"/>
      <c r="JJU35" s="39"/>
      <c r="JJV35" s="39"/>
      <c r="JJW35" s="39"/>
      <c r="JJX35" s="39"/>
      <c r="JJY35" s="39"/>
      <c r="JJZ35" s="39"/>
      <c r="JKA35" s="39"/>
      <c r="JKB35" s="39"/>
      <c r="JKC35" s="39"/>
      <c r="JKD35" s="39"/>
      <c r="JKE35" s="39"/>
      <c r="JKF35" s="39"/>
      <c r="JKG35" s="39"/>
      <c r="JKH35" s="39"/>
      <c r="JKI35" s="39"/>
      <c r="JKJ35" s="39"/>
      <c r="JKK35" s="39"/>
      <c r="JKL35" s="39"/>
      <c r="JKM35" s="39"/>
      <c r="JKN35" s="39"/>
      <c r="JKO35" s="39"/>
      <c r="JKP35" s="39"/>
      <c r="JKQ35" s="39"/>
      <c r="JKR35" s="39"/>
      <c r="JKS35" s="39"/>
      <c r="JKT35" s="39"/>
      <c r="JKU35" s="39"/>
      <c r="JKV35" s="39"/>
      <c r="JKW35" s="39"/>
      <c r="JKX35" s="39"/>
      <c r="JKY35" s="39"/>
      <c r="JKZ35" s="39"/>
      <c r="JLA35" s="39"/>
      <c r="JLB35" s="39"/>
      <c r="JLC35" s="39"/>
      <c r="JLD35" s="39"/>
      <c r="JLE35" s="39"/>
      <c r="JLF35" s="39"/>
      <c r="JLG35" s="39"/>
      <c r="JLH35" s="39"/>
      <c r="JLI35" s="39"/>
      <c r="JLJ35" s="39"/>
      <c r="JLK35" s="39"/>
      <c r="JLL35" s="39"/>
      <c r="JLM35" s="39"/>
      <c r="JLN35" s="39"/>
      <c r="JLO35" s="39"/>
      <c r="JLP35" s="39"/>
      <c r="JLQ35" s="39"/>
      <c r="JLR35" s="39"/>
      <c r="JLS35" s="39"/>
      <c r="JLT35" s="39"/>
      <c r="JLU35" s="39"/>
      <c r="JLV35" s="39"/>
      <c r="JLW35" s="39"/>
      <c r="JLX35" s="39"/>
      <c r="JLY35" s="39"/>
      <c r="JLZ35" s="39"/>
      <c r="JMA35" s="39"/>
      <c r="JMB35" s="39"/>
      <c r="JMC35" s="39"/>
      <c r="JMD35" s="39"/>
      <c r="JME35" s="39"/>
      <c r="JMF35" s="39"/>
      <c r="JMG35" s="39"/>
      <c r="JMH35" s="39"/>
      <c r="JMI35" s="39"/>
      <c r="JMJ35" s="39"/>
      <c r="JMK35" s="39"/>
      <c r="JML35" s="39"/>
      <c r="JMM35" s="39"/>
      <c r="JMN35" s="39"/>
      <c r="JMO35" s="39"/>
      <c r="JMP35" s="39"/>
      <c r="JMQ35" s="39"/>
      <c r="JMR35" s="39"/>
      <c r="JMS35" s="39"/>
      <c r="JMT35" s="39"/>
      <c r="JMU35" s="39"/>
      <c r="JMV35" s="39"/>
      <c r="JMW35" s="39"/>
      <c r="JMX35" s="39"/>
      <c r="JMY35" s="39"/>
      <c r="JMZ35" s="39"/>
      <c r="JNA35" s="39"/>
      <c r="JNB35" s="39"/>
      <c r="JNC35" s="39"/>
      <c r="JND35" s="39"/>
      <c r="JNE35" s="39"/>
      <c r="JNF35" s="39"/>
      <c r="JNG35" s="39"/>
      <c r="JNH35" s="39"/>
      <c r="JNI35" s="39"/>
      <c r="JNJ35" s="39"/>
      <c r="JNK35" s="39"/>
      <c r="JNL35" s="39"/>
      <c r="JNM35" s="39"/>
      <c r="JNN35" s="39"/>
      <c r="JNO35" s="39"/>
      <c r="JNP35" s="39"/>
      <c r="JNQ35" s="39"/>
      <c r="JNR35" s="39"/>
      <c r="JNS35" s="39"/>
      <c r="JNT35" s="39"/>
      <c r="JNU35" s="39"/>
      <c r="JNV35" s="39"/>
      <c r="JNW35" s="39"/>
      <c r="JNX35" s="39"/>
      <c r="JNY35" s="39"/>
      <c r="JNZ35" s="39"/>
      <c r="JOA35" s="39"/>
      <c r="JOB35" s="39"/>
      <c r="JOC35" s="39"/>
      <c r="JOD35" s="39"/>
      <c r="JOE35" s="39"/>
      <c r="JOF35" s="39"/>
      <c r="JOG35" s="39"/>
      <c r="JOH35" s="39"/>
      <c r="JOI35" s="39"/>
      <c r="JOJ35" s="39"/>
      <c r="JOK35" s="39"/>
      <c r="JOL35" s="39"/>
      <c r="JOM35" s="39"/>
      <c r="JON35" s="39"/>
      <c r="JOO35" s="39"/>
      <c r="JOP35" s="39"/>
      <c r="JOQ35" s="39"/>
      <c r="JOR35" s="39"/>
      <c r="JOS35" s="39"/>
      <c r="JOT35" s="39"/>
      <c r="JOU35" s="39"/>
      <c r="JOV35" s="39"/>
      <c r="JOW35" s="39"/>
      <c r="JOX35" s="39"/>
      <c r="JOY35" s="39"/>
      <c r="JOZ35" s="39"/>
      <c r="JPA35" s="39"/>
      <c r="JPB35" s="39"/>
      <c r="JPC35" s="39"/>
      <c r="JPD35" s="39"/>
      <c r="JPE35" s="39"/>
      <c r="JPF35" s="39"/>
      <c r="JPG35" s="39"/>
      <c r="JPH35" s="39"/>
      <c r="JPI35" s="39"/>
      <c r="JPJ35" s="39"/>
      <c r="JPK35" s="39"/>
      <c r="JPL35" s="39"/>
      <c r="JPM35" s="39"/>
      <c r="JPN35" s="39"/>
      <c r="JPO35" s="39"/>
      <c r="JPP35" s="39"/>
      <c r="JPQ35" s="39"/>
      <c r="JPR35" s="39"/>
      <c r="JPS35" s="39"/>
      <c r="JPT35" s="39"/>
      <c r="JPU35" s="39"/>
      <c r="JPV35" s="39"/>
      <c r="JPW35" s="39"/>
      <c r="JPX35" s="39"/>
      <c r="JPY35" s="39"/>
      <c r="JPZ35" s="39"/>
      <c r="JQA35" s="39"/>
      <c r="JQB35" s="39"/>
      <c r="JQC35" s="39"/>
      <c r="JQD35" s="39"/>
      <c r="JQE35" s="39"/>
      <c r="JQF35" s="39"/>
      <c r="JQG35" s="39"/>
      <c r="JQH35" s="39"/>
      <c r="JQI35" s="39"/>
      <c r="JQJ35" s="39"/>
      <c r="JQK35" s="39"/>
      <c r="JQL35" s="39"/>
      <c r="JQM35" s="39"/>
      <c r="JQN35" s="39"/>
      <c r="JQO35" s="39"/>
      <c r="JQP35" s="39"/>
      <c r="JQQ35" s="39"/>
      <c r="JQR35" s="39"/>
      <c r="JQS35" s="39"/>
      <c r="JQT35" s="39"/>
      <c r="JQU35" s="39"/>
      <c r="JQV35" s="39"/>
      <c r="JQW35" s="39"/>
      <c r="JQX35" s="39"/>
      <c r="JQY35" s="39"/>
      <c r="JQZ35" s="39"/>
      <c r="JRA35" s="39"/>
      <c r="JRB35" s="39"/>
      <c r="JRC35" s="39"/>
      <c r="JRD35" s="39"/>
      <c r="JRE35" s="39"/>
      <c r="JRF35" s="39"/>
      <c r="JRG35" s="39"/>
      <c r="JRH35" s="39"/>
      <c r="JRI35" s="39"/>
      <c r="JRJ35" s="39"/>
      <c r="JRK35" s="39"/>
      <c r="JRL35" s="39"/>
      <c r="JRM35" s="39"/>
      <c r="JRN35" s="39"/>
      <c r="JRO35" s="39"/>
      <c r="JRP35" s="39"/>
      <c r="JRQ35" s="39"/>
      <c r="JRR35" s="39"/>
      <c r="JRS35" s="39"/>
      <c r="JRT35" s="39"/>
      <c r="JRU35" s="39"/>
      <c r="JRV35" s="39"/>
      <c r="JRW35" s="39"/>
      <c r="JRX35" s="39"/>
      <c r="JRY35" s="39"/>
      <c r="JRZ35" s="39"/>
      <c r="JSA35" s="39"/>
      <c r="JSB35" s="39"/>
      <c r="JSC35" s="39"/>
      <c r="JSD35" s="39"/>
      <c r="JSE35" s="39"/>
      <c r="JSF35" s="39"/>
      <c r="JSG35" s="39"/>
      <c r="JSH35" s="39"/>
      <c r="JSI35" s="39"/>
      <c r="JSJ35" s="39"/>
      <c r="JSK35" s="39"/>
      <c r="JSL35" s="39"/>
      <c r="JSM35" s="39"/>
      <c r="JSN35" s="39"/>
      <c r="JSO35" s="39"/>
      <c r="JSP35" s="39"/>
      <c r="JSQ35" s="39"/>
      <c r="JSR35" s="39"/>
      <c r="JSS35" s="39"/>
      <c r="JST35" s="39"/>
      <c r="JSU35" s="39"/>
      <c r="JSV35" s="39"/>
      <c r="JSW35" s="39"/>
      <c r="JSX35" s="39"/>
      <c r="JSY35" s="39"/>
      <c r="JSZ35" s="39"/>
      <c r="JTA35" s="39"/>
      <c r="JTB35" s="39"/>
      <c r="JTC35" s="39"/>
      <c r="JTD35" s="39"/>
      <c r="JTE35" s="39"/>
      <c r="JTF35" s="39"/>
      <c r="JTG35" s="39"/>
      <c r="JTH35" s="39"/>
      <c r="JTI35" s="39"/>
      <c r="JTJ35" s="39"/>
      <c r="JTK35" s="39"/>
      <c r="JTL35" s="39"/>
      <c r="JTM35" s="39"/>
      <c r="JTN35" s="39"/>
      <c r="JTO35" s="39"/>
      <c r="JTP35" s="39"/>
      <c r="JTQ35" s="39"/>
      <c r="JTR35" s="39"/>
      <c r="JTS35" s="39"/>
      <c r="JTT35" s="39"/>
      <c r="JTU35" s="39"/>
      <c r="JTV35" s="39"/>
      <c r="JTW35" s="39"/>
      <c r="JTX35" s="39"/>
      <c r="JTY35" s="39"/>
      <c r="JTZ35" s="39"/>
      <c r="JUA35" s="39"/>
      <c r="JUB35" s="39"/>
      <c r="JUC35" s="39"/>
      <c r="JUD35" s="39"/>
      <c r="JUE35" s="39"/>
      <c r="JUF35" s="39"/>
      <c r="JUG35" s="39"/>
      <c r="JUH35" s="39"/>
      <c r="JUI35" s="39"/>
      <c r="JUJ35" s="39"/>
      <c r="JUK35" s="39"/>
      <c r="JUL35" s="39"/>
      <c r="JUM35" s="39"/>
      <c r="JUN35" s="39"/>
      <c r="JUO35" s="39"/>
      <c r="JUP35" s="39"/>
      <c r="JUQ35" s="39"/>
      <c r="JUR35" s="39"/>
      <c r="JUS35" s="39"/>
      <c r="JUT35" s="39"/>
      <c r="JUU35" s="39"/>
      <c r="JUV35" s="39"/>
      <c r="JUW35" s="39"/>
      <c r="JUX35" s="39"/>
      <c r="JUY35" s="39"/>
      <c r="JUZ35" s="39"/>
      <c r="JVA35" s="39"/>
      <c r="JVB35" s="39"/>
      <c r="JVC35" s="39"/>
      <c r="JVD35" s="39"/>
      <c r="JVE35" s="39"/>
      <c r="JVF35" s="39"/>
      <c r="JVG35" s="39"/>
      <c r="JVH35" s="39"/>
      <c r="JVI35" s="39"/>
      <c r="JVJ35" s="39"/>
      <c r="JVK35" s="39"/>
      <c r="JVL35" s="39"/>
      <c r="JVM35" s="39"/>
      <c r="JVN35" s="39"/>
      <c r="JVO35" s="39"/>
      <c r="JVP35" s="39"/>
      <c r="JVQ35" s="39"/>
      <c r="JVR35" s="39"/>
      <c r="JVS35" s="39"/>
      <c r="JVT35" s="39"/>
      <c r="JVU35" s="39"/>
      <c r="JVV35" s="39"/>
      <c r="JVW35" s="39"/>
      <c r="JVX35" s="39"/>
      <c r="JVY35" s="39"/>
      <c r="JVZ35" s="39"/>
      <c r="JWA35" s="39"/>
      <c r="JWB35" s="39"/>
      <c r="JWC35" s="39"/>
      <c r="JWD35" s="39"/>
      <c r="JWE35" s="39"/>
      <c r="JWF35" s="39"/>
      <c r="JWG35" s="39"/>
      <c r="JWH35" s="39"/>
      <c r="JWI35" s="39"/>
      <c r="JWJ35" s="39"/>
      <c r="JWK35" s="39"/>
      <c r="JWL35" s="39"/>
      <c r="JWM35" s="39"/>
      <c r="JWN35" s="39"/>
      <c r="JWO35" s="39"/>
      <c r="JWP35" s="39"/>
      <c r="JWQ35" s="39"/>
      <c r="JWR35" s="39"/>
      <c r="JWS35" s="39"/>
      <c r="JWT35" s="39"/>
      <c r="JWU35" s="39"/>
      <c r="JWV35" s="39"/>
      <c r="JWW35" s="39"/>
      <c r="JWX35" s="39"/>
      <c r="JWY35" s="39"/>
      <c r="JWZ35" s="39"/>
      <c r="JXA35" s="39"/>
      <c r="JXB35" s="39"/>
      <c r="JXC35" s="39"/>
      <c r="JXD35" s="39"/>
      <c r="JXE35" s="39"/>
      <c r="JXF35" s="39"/>
      <c r="JXG35" s="39"/>
      <c r="JXH35" s="39"/>
      <c r="JXI35" s="39"/>
      <c r="JXJ35" s="39"/>
      <c r="JXK35" s="39"/>
      <c r="JXL35" s="39"/>
      <c r="JXM35" s="39"/>
      <c r="JXN35" s="39"/>
      <c r="JXO35" s="39"/>
      <c r="JXP35" s="39"/>
      <c r="JXQ35" s="39"/>
      <c r="JXR35" s="39"/>
      <c r="JXS35" s="39"/>
      <c r="JXT35" s="39"/>
      <c r="JXU35" s="39"/>
      <c r="JXV35" s="39"/>
      <c r="JXW35" s="39"/>
      <c r="JXX35" s="39"/>
      <c r="JXY35" s="39"/>
      <c r="JXZ35" s="39"/>
      <c r="JYA35" s="39"/>
      <c r="JYB35" s="39"/>
      <c r="JYC35" s="39"/>
      <c r="JYD35" s="39"/>
      <c r="JYE35" s="39"/>
      <c r="JYF35" s="39"/>
      <c r="JYG35" s="39"/>
      <c r="JYH35" s="39"/>
      <c r="JYI35" s="39"/>
      <c r="JYJ35" s="39"/>
      <c r="JYK35" s="39"/>
      <c r="JYL35" s="39"/>
      <c r="JYM35" s="39"/>
      <c r="JYN35" s="39"/>
      <c r="JYO35" s="39"/>
      <c r="JYP35" s="39"/>
      <c r="JYQ35" s="39"/>
      <c r="JYR35" s="39"/>
      <c r="JYS35" s="39"/>
      <c r="JYT35" s="39"/>
      <c r="JYU35" s="39"/>
      <c r="JYV35" s="39"/>
      <c r="JYW35" s="39"/>
      <c r="JYX35" s="39"/>
      <c r="JYY35" s="39"/>
      <c r="JYZ35" s="39"/>
      <c r="JZA35" s="39"/>
      <c r="JZB35" s="39"/>
      <c r="JZC35" s="39"/>
      <c r="JZD35" s="39"/>
      <c r="JZE35" s="39"/>
      <c r="JZF35" s="39"/>
      <c r="JZG35" s="39"/>
      <c r="JZH35" s="39"/>
      <c r="JZI35" s="39"/>
      <c r="JZJ35" s="39"/>
      <c r="JZK35" s="39"/>
      <c r="JZL35" s="39"/>
      <c r="JZM35" s="39"/>
      <c r="JZN35" s="39"/>
      <c r="JZO35" s="39"/>
      <c r="JZP35" s="39"/>
      <c r="JZQ35" s="39"/>
      <c r="JZR35" s="39"/>
      <c r="JZS35" s="39"/>
      <c r="JZT35" s="39"/>
      <c r="JZU35" s="39"/>
      <c r="JZV35" s="39"/>
      <c r="JZW35" s="39"/>
      <c r="JZX35" s="39"/>
      <c r="JZY35" s="39"/>
      <c r="JZZ35" s="39"/>
      <c r="KAA35" s="39"/>
      <c r="KAB35" s="39"/>
      <c r="KAC35" s="39"/>
      <c r="KAD35" s="39"/>
      <c r="KAE35" s="39"/>
      <c r="KAF35" s="39"/>
      <c r="KAG35" s="39"/>
      <c r="KAH35" s="39"/>
      <c r="KAI35" s="39"/>
      <c r="KAJ35" s="39"/>
      <c r="KAK35" s="39"/>
      <c r="KAL35" s="39"/>
      <c r="KAM35" s="39"/>
      <c r="KAN35" s="39"/>
      <c r="KAO35" s="39"/>
      <c r="KAP35" s="39"/>
      <c r="KAQ35" s="39"/>
      <c r="KAR35" s="39"/>
      <c r="KAS35" s="39"/>
      <c r="KAT35" s="39"/>
      <c r="KAU35" s="39"/>
      <c r="KAV35" s="39"/>
      <c r="KAW35" s="39"/>
      <c r="KAX35" s="39"/>
      <c r="KAY35" s="39"/>
      <c r="KAZ35" s="39"/>
      <c r="KBA35" s="39"/>
      <c r="KBB35" s="39"/>
      <c r="KBC35" s="39"/>
      <c r="KBD35" s="39"/>
      <c r="KBE35" s="39"/>
      <c r="KBF35" s="39"/>
      <c r="KBG35" s="39"/>
      <c r="KBH35" s="39"/>
      <c r="KBI35" s="39"/>
      <c r="KBJ35" s="39"/>
      <c r="KBK35" s="39"/>
      <c r="KBL35" s="39"/>
      <c r="KBM35" s="39"/>
      <c r="KBN35" s="39"/>
      <c r="KBO35" s="39"/>
      <c r="KBP35" s="39"/>
      <c r="KBQ35" s="39"/>
      <c r="KBR35" s="39"/>
      <c r="KBS35" s="39"/>
      <c r="KBT35" s="39"/>
      <c r="KBU35" s="39"/>
      <c r="KBV35" s="39"/>
      <c r="KBW35" s="39"/>
      <c r="KBX35" s="39"/>
      <c r="KBY35" s="39"/>
      <c r="KBZ35" s="39"/>
      <c r="KCA35" s="39"/>
      <c r="KCB35" s="39"/>
      <c r="KCC35" s="39"/>
      <c r="KCD35" s="39"/>
      <c r="KCE35" s="39"/>
      <c r="KCF35" s="39"/>
      <c r="KCG35" s="39"/>
      <c r="KCH35" s="39"/>
      <c r="KCI35" s="39"/>
      <c r="KCJ35" s="39"/>
      <c r="KCK35" s="39"/>
      <c r="KCL35" s="39"/>
      <c r="KCM35" s="39"/>
      <c r="KCN35" s="39"/>
      <c r="KCO35" s="39"/>
      <c r="KCP35" s="39"/>
      <c r="KCQ35" s="39"/>
      <c r="KCR35" s="39"/>
      <c r="KCS35" s="39"/>
      <c r="KCT35" s="39"/>
      <c r="KCU35" s="39"/>
      <c r="KCV35" s="39"/>
      <c r="KCW35" s="39"/>
      <c r="KCX35" s="39"/>
      <c r="KCY35" s="39"/>
      <c r="KCZ35" s="39"/>
      <c r="KDA35" s="39"/>
      <c r="KDB35" s="39"/>
      <c r="KDC35" s="39"/>
      <c r="KDD35" s="39"/>
      <c r="KDE35" s="39"/>
      <c r="KDF35" s="39"/>
      <c r="KDG35" s="39"/>
      <c r="KDH35" s="39"/>
      <c r="KDI35" s="39"/>
      <c r="KDJ35" s="39"/>
      <c r="KDK35" s="39"/>
      <c r="KDL35" s="39"/>
      <c r="KDM35" s="39"/>
      <c r="KDN35" s="39"/>
      <c r="KDO35" s="39"/>
      <c r="KDP35" s="39"/>
      <c r="KDQ35" s="39"/>
      <c r="KDR35" s="39"/>
      <c r="KDS35" s="39"/>
      <c r="KDT35" s="39"/>
      <c r="KDU35" s="39"/>
      <c r="KDV35" s="39"/>
      <c r="KDW35" s="39"/>
      <c r="KDX35" s="39"/>
      <c r="KDY35" s="39"/>
      <c r="KDZ35" s="39"/>
      <c r="KEA35" s="39"/>
      <c r="KEB35" s="39"/>
      <c r="KEC35" s="39"/>
      <c r="KED35" s="39"/>
      <c r="KEE35" s="39"/>
      <c r="KEF35" s="39"/>
      <c r="KEG35" s="39"/>
      <c r="KEH35" s="39"/>
      <c r="KEI35" s="39"/>
      <c r="KEJ35" s="39"/>
      <c r="KEK35" s="39"/>
      <c r="KEL35" s="39"/>
      <c r="KEM35" s="39"/>
      <c r="KEN35" s="39"/>
      <c r="KEO35" s="39"/>
      <c r="KEP35" s="39"/>
      <c r="KEQ35" s="39"/>
      <c r="KER35" s="39"/>
      <c r="KES35" s="39"/>
      <c r="KET35" s="39"/>
      <c r="KEU35" s="39"/>
      <c r="KEV35" s="39"/>
      <c r="KEW35" s="39"/>
      <c r="KEX35" s="39"/>
      <c r="KEY35" s="39"/>
      <c r="KEZ35" s="39"/>
      <c r="KFA35" s="39"/>
      <c r="KFB35" s="39"/>
      <c r="KFC35" s="39"/>
      <c r="KFD35" s="39"/>
      <c r="KFE35" s="39"/>
      <c r="KFF35" s="39"/>
      <c r="KFG35" s="39"/>
      <c r="KFH35" s="39"/>
      <c r="KFI35" s="39"/>
      <c r="KFJ35" s="39"/>
      <c r="KFK35" s="39"/>
      <c r="KFL35" s="39"/>
      <c r="KFM35" s="39"/>
      <c r="KFN35" s="39"/>
      <c r="KFO35" s="39"/>
      <c r="KFP35" s="39"/>
      <c r="KFQ35" s="39"/>
      <c r="KFR35" s="39"/>
      <c r="KFS35" s="39"/>
      <c r="KFT35" s="39"/>
      <c r="KFU35" s="39"/>
      <c r="KFV35" s="39"/>
      <c r="KFW35" s="39"/>
      <c r="KFX35" s="39"/>
      <c r="KFY35" s="39"/>
      <c r="KFZ35" s="39"/>
      <c r="KGA35" s="39"/>
      <c r="KGB35" s="39"/>
      <c r="KGC35" s="39"/>
      <c r="KGD35" s="39"/>
      <c r="KGE35" s="39"/>
      <c r="KGF35" s="39"/>
      <c r="KGG35" s="39"/>
      <c r="KGH35" s="39"/>
      <c r="KGI35" s="39"/>
      <c r="KGJ35" s="39"/>
      <c r="KGK35" s="39"/>
      <c r="KGL35" s="39"/>
      <c r="KGM35" s="39"/>
      <c r="KGN35" s="39"/>
      <c r="KGO35" s="39"/>
      <c r="KGP35" s="39"/>
      <c r="KGQ35" s="39"/>
      <c r="KGR35" s="39"/>
      <c r="KGS35" s="39"/>
      <c r="KGT35" s="39"/>
      <c r="KGU35" s="39"/>
      <c r="KGV35" s="39"/>
      <c r="KGW35" s="39"/>
      <c r="KGX35" s="39"/>
      <c r="KGY35" s="39"/>
      <c r="KGZ35" s="39"/>
      <c r="KHA35" s="39"/>
      <c r="KHB35" s="39"/>
      <c r="KHC35" s="39"/>
      <c r="KHD35" s="39"/>
      <c r="KHE35" s="39"/>
      <c r="KHF35" s="39"/>
      <c r="KHG35" s="39"/>
      <c r="KHH35" s="39"/>
      <c r="KHI35" s="39"/>
      <c r="KHJ35" s="39"/>
      <c r="KHK35" s="39"/>
      <c r="KHL35" s="39"/>
      <c r="KHM35" s="39"/>
      <c r="KHN35" s="39"/>
      <c r="KHO35" s="39"/>
      <c r="KHP35" s="39"/>
      <c r="KHQ35" s="39"/>
      <c r="KHR35" s="39"/>
      <c r="KHS35" s="39"/>
      <c r="KHT35" s="39"/>
      <c r="KHU35" s="39"/>
      <c r="KHV35" s="39"/>
      <c r="KHW35" s="39"/>
      <c r="KHX35" s="39"/>
      <c r="KHY35" s="39"/>
      <c r="KHZ35" s="39"/>
      <c r="KIA35" s="39"/>
      <c r="KIB35" s="39"/>
      <c r="KIC35" s="39"/>
      <c r="KID35" s="39"/>
      <c r="KIE35" s="39"/>
      <c r="KIF35" s="39"/>
      <c r="KIG35" s="39"/>
      <c r="KIH35" s="39"/>
      <c r="KII35" s="39"/>
      <c r="KIJ35" s="39"/>
      <c r="KIK35" s="39"/>
      <c r="KIL35" s="39"/>
      <c r="KIM35" s="39"/>
      <c r="KIN35" s="39"/>
      <c r="KIO35" s="39"/>
      <c r="KIP35" s="39"/>
      <c r="KIQ35" s="39"/>
      <c r="KIR35" s="39"/>
      <c r="KIS35" s="39"/>
      <c r="KIT35" s="39"/>
      <c r="KIU35" s="39"/>
      <c r="KIV35" s="39"/>
      <c r="KIW35" s="39"/>
      <c r="KIX35" s="39"/>
      <c r="KIY35" s="39"/>
      <c r="KIZ35" s="39"/>
      <c r="KJA35" s="39"/>
      <c r="KJB35" s="39"/>
      <c r="KJC35" s="39"/>
      <c r="KJD35" s="39"/>
      <c r="KJE35" s="39"/>
      <c r="KJF35" s="39"/>
      <c r="KJG35" s="39"/>
      <c r="KJH35" s="39"/>
      <c r="KJI35" s="39"/>
      <c r="KJJ35" s="39"/>
      <c r="KJK35" s="39"/>
      <c r="KJL35" s="39"/>
      <c r="KJM35" s="39"/>
      <c r="KJN35" s="39"/>
      <c r="KJO35" s="39"/>
      <c r="KJP35" s="39"/>
      <c r="KJQ35" s="39"/>
      <c r="KJR35" s="39"/>
      <c r="KJS35" s="39"/>
      <c r="KJT35" s="39"/>
      <c r="KJU35" s="39"/>
      <c r="KJV35" s="39"/>
      <c r="KJW35" s="39"/>
      <c r="KJX35" s="39"/>
      <c r="KJY35" s="39"/>
      <c r="KJZ35" s="39"/>
      <c r="KKA35" s="39"/>
      <c r="KKB35" s="39"/>
      <c r="KKC35" s="39"/>
      <c r="KKD35" s="39"/>
      <c r="KKE35" s="39"/>
      <c r="KKF35" s="39"/>
      <c r="KKG35" s="39"/>
      <c r="KKH35" s="39"/>
      <c r="KKI35" s="39"/>
      <c r="KKJ35" s="39"/>
      <c r="KKK35" s="39"/>
      <c r="KKL35" s="39"/>
      <c r="KKM35" s="39"/>
      <c r="KKN35" s="39"/>
      <c r="KKO35" s="39"/>
      <c r="KKP35" s="39"/>
      <c r="KKQ35" s="39"/>
      <c r="KKR35" s="39"/>
      <c r="KKS35" s="39"/>
      <c r="KKT35" s="39"/>
      <c r="KKU35" s="39"/>
      <c r="KKV35" s="39"/>
      <c r="KKW35" s="39"/>
      <c r="KKX35" s="39"/>
      <c r="KKY35" s="39"/>
      <c r="KKZ35" s="39"/>
      <c r="KLA35" s="39"/>
      <c r="KLB35" s="39"/>
      <c r="KLC35" s="39"/>
      <c r="KLD35" s="39"/>
      <c r="KLE35" s="39"/>
      <c r="KLF35" s="39"/>
      <c r="KLG35" s="39"/>
      <c r="KLH35" s="39"/>
      <c r="KLI35" s="39"/>
      <c r="KLJ35" s="39"/>
      <c r="KLK35" s="39"/>
      <c r="KLL35" s="39"/>
      <c r="KLM35" s="39"/>
      <c r="KLN35" s="39"/>
      <c r="KLO35" s="39"/>
      <c r="KLP35" s="39"/>
      <c r="KLQ35" s="39"/>
      <c r="KLR35" s="39"/>
      <c r="KLS35" s="39"/>
      <c r="KLT35" s="39"/>
      <c r="KLU35" s="39"/>
      <c r="KLV35" s="39"/>
      <c r="KLW35" s="39"/>
      <c r="KLX35" s="39"/>
      <c r="KLY35" s="39"/>
      <c r="KLZ35" s="39"/>
      <c r="KMA35" s="39"/>
      <c r="KMB35" s="39"/>
      <c r="KMC35" s="39"/>
      <c r="KMD35" s="39"/>
      <c r="KME35" s="39"/>
      <c r="KMF35" s="39"/>
      <c r="KMG35" s="39"/>
      <c r="KMH35" s="39"/>
      <c r="KMI35" s="39"/>
      <c r="KMJ35" s="39"/>
      <c r="KMK35" s="39"/>
      <c r="KML35" s="39"/>
      <c r="KMM35" s="39"/>
      <c r="KMN35" s="39"/>
      <c r="KMO35" s="39"/>
      <c r="KMP35" s="39"/>
      <c r="KMQ35" s="39"/>
      <c r="KMR35" s="39"/>
      <c r="KMS35" s="39"/>
      <c r="KMT35" s="39"/>
      <c r="KMU35" s="39"/>
      <c r="KMV35" s="39"/>
      <c r="KMW35" s="39"/>
      <c r="KMX35" s="39"/>
      <c r="KMY35" s="39"/>
      <c r="KMZ35" s="39"/>
      <c r="KNA35" s="39"/>
      <c r="KNB35" s="39"/>
      <c r="KNC35" s="39"/>
      <c r="KND35" s="39"/>
      <c r="KNE35" s="39"/>
      <c r="KNF35" s="39"/>
      <c r="KNG35" s="39"/>
      <c r="KNH35" s="39"/>
      <c r="KNI35" s="39"/>
      <c r="KNJ35" s="39"/>
      <c r="KNK35" s="39"/>
      <c r="KNL35" s="39"/>
      <c r="KNM35" s="39"/>
      <c r="KNN35" s="39"/>
      <c r="KNO35" s="39"/>
      <c r="KNP35" s="39"/>
      <c r="KNQ35" s="39"/>
      <c r="KNR35" s="39"/>
      <c r="KNS35" s="39"/>
      <c r="KNT35" s="39"/>
      <c r="KNU35" s="39"/>
      <c r="KNV35" s="39"/>
      <c r="KNW35" s="39"/>
      <c r="KNX35" s="39"/>
      <c r="KNY35" s="39"/>
      <c r="KNZ35" s="39"/>
      <c r="KOA35" s="39"/>
      <c r="KOB35" s="39"/>
      <c r="KOC35" s="39"/>
      <c r="KOD35" s="39"/>
      <c r="KOE35" s="39"/>
      <c r="KOF35" s="39"/>
      <c r="KOG35" s="39"/>
      <c r="KOH35" s="39"/>
      <c r="KOI35" s="39"/>
      <c r="KOJ35" s="39"/>
      <c r="KOK35" s="39"/>
      <c r="KOL35" s="39"/>
      <c r="KOM35" s="39"/>
      <c r="KON35" s="39"/>
      <c r="KOO35" s="39"/>
      <c r="KOP35" s="39"/>
      <c r="KOQ35" s="39"/>
      <c r="KOR35" s="39"/>
      <c r="KOS35" s="39"/>
      <c r="KOT35" s="39"/>
      <c r="KOU35" s="39"/>
      <c r="KOV35" s="39"/>
      <c r="KOW35" s="39"/>
      <c r="KOX35" s="39"/>
      <c r="KOY35" s="39"/>
      <c r="KOZ35" s="39"/>
      <c r="KPA35" s="39"/>
      <c r="KPB35" s="39"/>
      <c r="KPC35" s="39"/>
      <c r="KPD35" s="39"/>
      <c r="KPE35" s="39"/>
      <c r="KPF35" s="39"/>
      <c r="KPG35" s="39"/>
      <c r="KPH35" s="39"/>
      <c r="KPI35" s="39"/>
      <c r="KPJ35" s="39"/>
      <c r="KPK35" s="39"/>
      <c r="KPL35" s="39"/>
      <c r="KPM35" s="39"/>
      <c r="KPN35" s="39"/>
      <c r="KPO35" s="39"/>
      <c r="KPP35" s="39"/>
      <c r="KPQ35" s="39"/>
      <c r="KPR35" s="39"/>
      <c r="KPS35" s="39"/>
      <c r="KPT35" s="39"/>
      <c r="KPU35" s="39"/>
      <c r="KPV35" s="39"/>
      <c r="KPW35" s="39"/>
      <c r="KPX35" s="39"/>
      <c r="KPY35" s="39"/>
      <c r="KPZ35" s="39"/>
      <c r="KQA35" s="39"/>
      <c r="KQB35" s="39"/>
      <c r="KQC35" s="39"/>
      <c r="KQD35" s="39"/>
      <c r="KQE35" s="39"/>
      <c r="KQF35" s="39"/>
      <c r="KQG35" s="39"/>
      <c r="KQH35" s="39"/>
      <c r="KQI35" s="39"/>
      <c r="KQJ35" s="39"/>
      <c r="KQK35" s="39"/>
      <c r="KQL35" s="39"/>
      <c r="KQM35" s="39"/>
      <c r="KQN35" s="39"/>
      <c r="KQO35" s="39"/>
      <c r="KQP35" s="39"/>
      <c r="KQQ35" s="39"/>
      <c r="KQR35" s="39"/>
      <c r="KQS35" s="39"/>
      <c r="KQT35" s="39"/>
      <c r="KQU35" s="39"/>
      <c r="KQV35" s="39"/>
      <c r="KQW35" s="39"/>
      <c r="KQX35" s="39"/>
      <c r="KQY35" s="39"/>
      <c r="KQZ35" s="39"/>
      <c r="KRA35" s="39"/>
      <c r="KRB35" s="39"/>
      <c r="KRC35" s="39"/>
      <c r="KRD35" s="39"/>
      <c r="KRE35" s="39"/>
      <c r="KRF35" s="39"/>
      <c r="KRG35" s="39"/>
      <c r="KRH35" s="39"/>
      <c r="KRI35" s="39"/>
      <c r="KRJ35" s="39"/>
      <c r="KRK35" s="39"/>
      <c r="KRL35" s="39"/>
      <c r="KRM35" s="39"/>
      <c r="KRN35" s="39"/>
      <c r="KRO35" s="39"/>
      <c r="KRP35" s="39"/>
      <c r="KRQ35" s="39"/>
      <c r="KRR35" s="39"/>
      <c r="KRS35" s="39"/>
      <c r="KRT35" s="39"/>
      <c r="KRU35" s="39"/>
      <c r="KRV35" s="39"/>
      <c r="KRW35" s="39"/>
      <c r="KRX35" s="39"/>
      <c r="KRY35" s="39"/>
      <c r="KRZ35" s="39"/>
      <c r="KSA35" s="39"/>
      <c r="KSB35" s="39"/>
      <c r="KSC35" s="39"/>
      <c r="KSD35" s="39"/>
      <c r="KSE35" s="39"/>
      <c r="KSF35" s="39"/>
      <c r="KSG35" s="39"/>
      <c r="KSH35" s="39"/>
      <c r="KSI35" s="39"/>
      <c r="KSJ35" s="39"/>
      <c r="KSK35" s="39"/>
      <c r="KSL35" s="39"/>
      <c r="KSM35" s="39"/>
      <c r="KSN35" s="39"/>
      <c r="KSO35" s="39"/>
      <c r="KSP35" s="39"/>
      <c r="KSQ35" s="39"/>
      <c r="KSR35" s="39"/>
      <c r="KSS35" s="39"/>
      <c r="KST35" s="39"/>
      <c r="KSU35" s="39"/>
      <c r="KSV35" s="39"/>
      <c r="KSW35" s="39"/>
      <c r="KSX35" s="39"/>
      <c r="KSY35" s="39"/>
      <c r="KSZ35" s="39"/>
      <c r="KTA35" s="39"/>
      <c r="KTB35" s="39"/>
      <c r="KTC35" s="39"/>
      <c r="KTD35" s="39"/>
      <c r="KTE35" s="39"/>
      <c r="KTF35" s="39"/>
      <c r="KTG35" s="39"/>
      <c r="KTH35" s="39"/>
      <c r="KTI35" s="39"/>
      <c r="KTJ35" s="39"/>
      <c r="KTK35" s="39"/>
      <c r="KTL35" s="39"/>
      <c r="KTM35" s="39"/>
      <c r="KTN35" s="39"/>
      <c r="KTO35" s="39"/>
      <c r="KTP35" s="39"/>
      <c r="KTQ35" s="39"/>
      <c r="KTR35" s="39"/>
      <c r="KTS35" s="39"/>
      <c r="KTT35" s="39"/>
      <c r="KTU35" s="39"/>
      <c r="KTV35" s="39"/>
      <c r="KTW35" s="39"/>
      <c r="KTX35" s="39"/>
      <c r="KTY35" s="39"/>
      <c r="KTZ35" s="39"/>
      <c r="KUA35" s="39"/>
      <c r="KUB35" s="39"/>
      <c r="KUC35" s="39"/>
      <c r="KUD35" s="39"/>
      <c r="KUE35" s="39"/>
      <c r="KUF35" s="39"/>
      <c r="KUG35" s="39"/>
      <c r="KUH35" s="39"/>
      <c r="KUI35" s="39"/>
      <c r="KUJ35" s="39"/>
      <c r="KUK35" s="39"/>
      <c r="KUL35" s="39"/>
      <c r="KUM35" s="39"/>
      <c r="KUN35" s="39"/>
      <c r="KUO35" s="39"/>
      <c r="KUP35" s="39"/>
      <c r="KUQ35" s="39"/>
      <c r="KUR35" s="39"/>
      <c r="KUS35" s="39"/>
      <c r="KUT35" s="39"/>
      <c r="KUU35" s="39"/>
      <c r="KUV35" s="39"/>
      <c r="KUW35" s="39"/>
      <c r="KUX35" s="39"/>
      <c r="KUY35" s="39"/>
      <c r="KUZ35" s="39"/>
      <c r="KVA35" s="39"/>
      <c r="KVB35" s="39"/>
      <c r="KVC35" s="39"/>
      <c r="KVD35" s="39"/>
      <c r="KVE35" s="39"/>
      <c r="KVF35" s="39"/>
      <c r="KVG35" s="39"/>
      <c r="KVH35" s="39"/>
      <c r="KVI35" s="39"/>
      <c r="KVJ35" s="39"/>
      <c r="KVK35" s="39"/>
      <c r="KVL35" s="39"/>
      <c r="KVM35" s="39"/>
      <c r="KVN35" s="39"/>
      <c r="KVO35" s="39"/>
      <c r="KVP35" s="39"/>
      <c r="KVQ35" s="39"/>
      <c r="KVR35" s="39"/>
      <c r="KVS35" s="39"/>
      <c r="KVT35" s="39"/>
      <c r="KVU35" s="39"/>
      <c r="KVV35" s="39"/>
      <c r="KVW35" s="39"/>
      <c r="KVX35" s="39"/>
      <c r="KVY35" s="39"/>
      <c r="KVZ35" s="39"/>
      <c r="KWA35" s="39"/>
      <c r="KWB35" s="39"/>
      <c r="KWC35" s="39"/>
      <c r="KWD35" s="39"/>
      <c r="KWE35" s="39"/>
      <c r="KWF35" s="39"/>
      <c r="KWG35" s="39"/>
      <c r="KWH35" s="39"/>
      <c r="KWI35" s="39"/>
      <c r="KWJ35" s="39"/>
      <c r="KWK35" s="39"/>
      <c r="KWL35" s="39"/>
      <c r="KWM35" s="39"/>
      <c r="KWN35" s="39"/>
      <c r="KWO35" s="39"/>
      <c r="KWP35" s="39"/>
      <c r="KWQ35" s="39"/>
      <c r="KWR35" s="39"/>
      <c r="KWS35" s="39"/>
      <c r="KWT35" s="39"/>
      <c r="KWU35" s="39"/>
      <c r="KWV35" s="39"/>
      <c r="KWW35" s="39"/>
      <c r="KWX35" s="39"/>
      <c r="KWY35" s="39"/>
      <c r="KWZ35" s="39"/>
      <c r="KXA35" s="39"/>
      <c r="KXB35" s="39"/>
      <c r="KXC35" s="39"/>
      <c r="KXD35" s="39"/>
      <c r="KXE35" s="39"/>
      <c r="KXF35" s="39"/>
      <c r="KXG35" s="39"/>
      <c r="KXH35" s="39"/>
      <c r="KXI35" s="39"/>
      <c r="KXJ35" s="39"/>
      <c r="KXK35" s="39"/>
      <c r="KXL35" s="39"/>
      <c r="KXM35" s="39"/>
      <c r="KXN35" s="39"/>
      <c r="KXO35" s="39"/>
      <c r="KXP35" s="39"/>
      <c r="KXQ35" s="39"/>
      <c r="KXR35" s="39"/>
      <c r="KXS35" s="39"/>
      <c r="KXT35" s="39"/>
      <c r="KXU35" s="39"/>
      <c r="KXV35" s="39"/>
      <c r="KXW35" s="39"/>
      <c r="KXX35" s="39"/>
      <c r="KXY35" s="39"/>
      <c r="KXZ35" s="39"/>
      <c r="KYA35" s="39"/>
      <c r="KYB35" s="39"/>
      <c r="KYC35" s="39"/>
      <c r="KYD35" s="39"/>
      <c r="KYE35" s="39"/>
      <c r="KYF35" s="39"/>
      <c r="KYG35" s="39"/>
      <c r="KYH35" s="39"/>
      <c r="KYI35" s="39"/>
      <c r="KYJ35" s="39"/>
      <c r="KYK35" s="39"/>
      <c r="KYL35" s="39"/>
      <c r="KYM35" s="39"/>
      <c r="KYN35" s="39"/>
      <c r="KYO35" s="39"/>
      <c r="KYP35" s="39"/>
      <c r="KYQ35" s="39"/>
      <c r="KYR35" s="39"/>
      <c r="KYS35" s="39"/>
      <c r="KYT35" s="39"/>
      <c r="KYU35" s="39"/>
      <c r="KYV35" s="39"/>
      <c r="KYW35" s="39"/>
      <c r="KYX35" s="39"/>
      <c r="KYY35" s="39"/>
      <c r="KYZ35" s="39"/>
      <c r="KZA35" s="39"/>
      <c r="KZB35" s="39"/>
      <c r="KZC35" s="39"/>
      <c r="KZD35" s="39"/>
      <c r="KZE35" s="39"/>
      <c r="KZF35" s="39"/>
      <c r="KZG35" s="39"/>
      <c r="KZH35" s="39"/>
      <c r="KZI35" s="39"/>
      <c r="KZJ35" s="39"/>
      <c r="KZK35" s="39"/>
      <c r="KZL35" s="39"/>
      <c r="KZM35" s="39"/>
      <c r="KZN35" s="39"/>
      <c r="KZO35" s="39"/>
      <c r="KZP35" s="39"/>
      <c r="KZQ35" s="39"/>
      <c r="KZR35" s="39"/>
      <c r="KZS35" s="39"/>
      <c r="KZT35" s="39"/>
      <c r="KZU35" s="39"/>
      <c r="KZV35" s="39"/>
      <c r="KZW35" s="39"/>
      <c r="KZX35" s="39"/>
      <c r="KZY35" s="39"/>
      <c r="KZZ35" s="39"/>
      <c r="LAA35" s="39"/>
      <c r="LAB35" s="39"/>
      <c r="LAC35" s="39"/>
      <c r="LAD35" s="39"/>
      <c r="LAE35" s="39"/>
      <c r="LAF35" s="39"/>
      <c r="LAG35" s="39"/>
      <c r="LAH35" s="39"/>
      <c r="LAI35" s="39"/>
      <c r="LAJ35" s="39"/>
      <c r="LAK35" s="39"/>
      <c r="LAL35" s="39"/>
      <c r="LAM35" s="39"/>
      <c r="LAN35" s="39"/>
      <c r="LAO35" s="39"/>
      <c r="LAP35" s="39"/>
      <c r="LAQ35" s="39"/>
      <c r="LAR35" s="39"/>
      <c r="LAS35" s="39"/>
      <c r="LAT35" s="39"/>
      <c r="LAU35" s="39"/>
      <c r="LAV35" s="39"/>
      <c r="LAW35" s="39"/>
      <c r="LAX35" s="39"/>
      <c r="LAY35" s="39"/>
      <c r="LAZ35" s="39"/>
      <c r="LBA35" s="39"/>
      <c r="LBB35" s="39"/>
      <c r="LBC35" s="39"/>
      <c r="LBD35" s="39"/>
      <c r="LBE35" s="39"/>
      <c r="LBF35" s="39"/>
      <c r="LBG35" s="39"/>
      <c r="LBH35" s="39"/>
      <c r="LBI35" s="39"/>
      <c r="LBJ35" s="39"/>
      <c r="LBK35" s="39"/>
      <c r="LBL35" s="39"/>
      <c r="LBM35" s="39"/>
      <c r="LBN35" s="39"/>
      <c r="LBO35" s="39"/>
      <c r="LBP35" s="39"/>
      <c r="LBQ35" s="39"/>
      <c r="LBR35" s="39"/>
      <c r="LBS35" s="39"/>
      <c r="LBT35" s="39"/>
      <c r="LBU35" s="39"/>
      <c r="LBV35" s="39"/>
      <c r="LBW35" s="39"/>
      <c r="LBX35" s="39"/>
      <c r="LBY35" s="39"/>
      <c r="LBZ35" s="39"/>
      <c r="LCA35" s="39"/>
      <c r="LCB35" s="39"/>
      <c r="LCC35" s="39"/>
      <c r="LCD35" s="39"/>
      <c r="LCE35" s="39"/>
      <c r="LCF35" s="39"/>
      <c r="LCG35" s="39"/>
      <c r="LCH35" s="39"/>
      <c r="LCI35" s="39"/>
      <c r="LCJ35" s="39"/>
      <c r="LCK35" s="39"/>
      <c r="LCL35" s="39"/>
      <c r="LCM35" s="39"/>
      <c r="LCN35" s="39"/>
      <c r="LCO35" s="39"/>
      <c r="LCP35" s="39"/>
      <c r="LCQ35" s="39"/>
      <c r="LCR35" s="39"/>
      <c r="LCS35" s="39"/>
      <c r="LCT35" s="39"/>
      <c r="LCU35" s="39"/>
      <c r="LCV35" s="39"/>
      <c r="LCW35" s="39"/>
      <c r="LCX35" s="39"/>
      <c r="LCY35" s="39"/>
      <c r="LCZ35" s="39"/>
      <c r="LDA35" s="39"/>
      <c r="LDB35" s="39"/>
      <c r="LDC35" s="39"/>
      <c r="LDD35" s="39"/>
      <c r="LDE35" s="39"/>
      <c r="LDF35" s="39"/>
      <c r="LDG35" s="39"/>
      <c r="LDH35" s="39"/>
      <c r="LDI35" s="39"/>
      <c r="LDJ35" s="39"/>
      <c r="LDK35" s="39"/>
      <c r="LDL35" s="39"/>
      <c r="LDM35" s="39"/>
      <c r="LDN35" s="39"/>
      <c r="LDO35" s="39"/>
      <c r="LDP35" s="39"/>
      <c r="LDQ35" s="39"/>
      <c r="LDR35" s="39"/>
      <c r="LDS35" s="39"/>
      <c r="LDT35" s="39"/>
      <c r="LDU35" s="39"/>
      <c r="LDV35" s="39"/>
      <c r="LDW35" s="39"/>
      <c r="LDX35" s="39"/>
      <c r="LDY35" s="39"/>
      <c r="LDZ35" s="39"/>
      <c r="LEA35" s="39"/>
      <c r="LEB35" s="39"/>
      <c r="LEC35" s="39"/>
      <c r="LED35" s="39"/>
      <c r="LEE35" s="39"/>
      <c r="LEF35" s="39"/>
      <c r="LEG35" s="39"/>
      <c r="LEH35" s="39"/>
      <c r="LEI35" s="39"/>
      <c r="LEJ35" s="39"/>
      <c r="LEK35" s="39"/>
      <c r="LEL35" s="39"/>
      <c r="LEM35" s="39"/>
      <c r="LEN35" s="39"/>
      <c r="LEO35" s="39"/>
      <c r="LEP35" s="39"/>
      <c r="LEQ35" s="39"/>
      <c r="LER35" s="39"/>
      <c r="LES35" s="39"/>
      <c r="LET35" s="39"/>
      <c r="LEU35" s="39"/>
      <c r="LEV35" s="39"/>
      <c r="LEW35" s="39"/>
      <c r="LEX35" s="39"/>
      <c r="LEY35" s="39"/>
      <c r="LEZ35" s="39"/>
      <c r="LFA35" s="39"/>
      <c r="LFB35" s="39"/>
      <c r="LFC35" s="39"/>
      <c r="LFD35" s="39"/>
      <c r="LFE35" s="39"/>
      <c r="LFF35" s="39"/>
      <c r="LFG35" s="39"/>
      <c r="LFH35" s="39"/>
      <c r="LFI35" s="39"/>
      <c r="LFJ35" s="39"/>
      <c r="LFK35" s="39"/>
      <c r="LFL35" s="39"/>
      <c r="LFM35" s="39"/>
      <c r="LFN35" s="39"/>
      <c r="LFO35" s="39"/>
      <c r="LFP35" s="39"/>
      <c r="LFQ35" s="39"/>
      <c r="LFR35" s="39"/>
      <c r="LFS35" s="39"/>
      <c r="LFT35" s="39"/>
      <c r="LFU35" s="39"/>
      <c r="LFV35" s="39"/>
      <c r="LFW35" s="39"/>
      <c r="LFX35" s="39"/>
      <c r="LFY35" s="39"/>
      <c r="LFZ35" s="39"/>
      <c r="LGA35" s="39"/>
      <c r="LGB35" s="39"/>
      <c r="LGC35" s="39"/>
      <c r="LGD35" s="39"/>
      <c r="LGE35" s="39"/>
      <c r="LGF35" s="39"/>
      <c r="LGG35" s="39"/>
      <c r="LGH35" s="39"/>
      <c r="LGI35" s="39"/>
      <c r="LGJ35" s="39"/>
      <c r="LGK35" s="39"/>
      <c r="LGL35" s="39"/>
      <c r="LGM35" s="39"/>
      <c r="LGN35" s="39"/>
      <c r="LGO35" s="39"/>
      <c r="LGP35" s="39"/>
      <c r="LGQ35" s="39"/>
      <c r="LGR35" s="39"/>
      <c r="LGS35" s="39"/>
      <c r="LGT35" s="39"/>
      <c r="LGU35" s="39"/>
      <c r="LGV35" s="39"/>
      <c r="LGW35" s="39"/>
      <c r="LGX35" s="39"/>
      <c r="LGY35" s="39"/>
      <c r="LGZ35" s="39"/>
      <c r="LHA35" s="39"/>
      <c r="LHB35" s="39"/>
      <c r="LHC35" s="39"/>
      <c r="LHD35" s="39"/>
      <c r="LHE35" s="39"/>
      <c r="LHF35" s="39"/>
      <c r="LHG35" s="39"/>
      <c r="LHH35" s="39"/>
      <c r="LHI35" s="39"/>
      <c r="LHJ35" s="39"/>
      <c r="LHK35" s="39"/>
      <c r="LHL35" s="39"/>
      <c r="LHM35" s="39"/>
      <c r="LHN35" s="39"/>
      <c r="LHO35" s="39"/>
      <c r="LHP35" s="39"/>
      <c r="LHQ35" s="39"/>
      <c r="LHR35" s="39"/>
      <c r="LHS35" s="39"/>
      <c r="LHT35" s="39"/>
      <c r="LHU35" s="39"/>
      <c r="LHV35" s="39"/>
      <c r="LHW35" s="39"/>
      <c r="LHX35" s="39"/>
      <c r="LHY35" s="39"/>
      <c r="LHZ35" s="39"/>
      <c r="LIA35" s="39"/>
      <c r="LIB35" s="39"/>
      <c r="LIC35" s="39"/>
      <c r="LID35" s="39"/>
      <c r="LIE35" s="39"/>
      <c r="LIF35" s="39"/>
      <c r="LIG35" s="39"/>
      <c r="LIH35" s="39"/>
      <c r="LII35" s="39"/>
      <c r="LIJ35" s="39"/>
      <c r="LIK35" s="39"/>
      <c r="LIL35" s="39"/>
      <c r="LIM35" s="39"/>
      <c r="LIN35" s="39"/>
      <c r="LIO35" s="39"/>
      <c r="LIP35" s="39"/>
      <c r="LIQ35" s="39"/>
      <c r="LIR35" s="39"/>
      <c r="LIS35" s="39"/>
      <c r="LIT35" s="39"/>
      <c r="LIU35" s="39"/>
      <c r="LIV35" s="39"/>
      <c r="LIW35" s="39"/>
      <c r="LIX35" s="39"/>
      <c r="LIY35" s="39"/>
      <c r="LIZ35" s="39"/>
      <c r="LJA35" s="39"/>
      <c r="LJB35" s="39"/>
      <c r="LJC35" s="39"/>
      <c r="LJD35" s="39"/>
      <c r="LJE35" s="39"/>
      <c r="LJF35" s="39"/>
      <c r="LJG35" s="39"/>
      <c r="LJH35" s="39"/>
      <c r="LJI35" s="39"/>
      <c r="LJJ35" s="39"/>
      <c r="LJK35" s="39"/>
      <c r="LJL35" s="39"/>
      <c r="LJM35" s="39"/>
      <c r="LJN35" s="39"/>
      <c r="LJO35" s="39"/>
      <c r="LJP35" s="39"/>
      <c r="LJQ35" s="39"/>
      <c r="LJR35" s="39"/>
      <c r="LJS35" s="39"/>
      <c r="LJT35" s="39"/>
      <c r="LJU35" s="39"/>
      <c r="LJV35" s="39"/>
      <c r="LJW35" s="39"/>
      <c r="LJX35" s="39"/>
      <c r="LJY35" s="39"/>
      <c r="LJZ35" s="39"/>
      <c r="LKA35" s="39"/>
      <c r="LKB35" s="39"/>
      <c r="LKC35" s="39"/>
      <c r="LKD35" s="39"/>
      <c r="LKE35" s="39"/>
      <c r="LKF35" s="39"/>
      <c r="LKG35" s="39"/>
      <c r="LKH35" s="39"/>
      <c r="LKI35" s="39"/>
      <c r="LKJ35" s="39"/>
      <c r="LKK35" s="39"/>
      <c r="LKL35" s="39"/>
      <c r="LKM35" s="39"/>
      <c r="LKN35" s="39"/>
      <c r="LKO35" s="39"/>
      <c r="LKP35" s="39"/>
      <c r="LKQ35" s="39"/>
      <c r="LKR35" s="39"/>
      <c r="LKS35" s="39"/>
      <c r="LKT35" s="39"/>
      <c r="LKU35" s="39"/>
      <c r="LKV35" s="39"/>
      <c r="LKW35" s="39"/>
      <c r="LKX35" s="39"/>
      <c r="LKY35" s="39"/>
      <c r="LKZ35" s="39"/>
      <c r="LLA35" s="39"/>
      <c r="LLB35" s="39"/>
      <c r="LLC35" s="39"/>
      <c r="LLD35" s="39"/>
      <c r="LLE35" s="39"/>
      <c r="LLF35" s="39"/>
      <c r="LLG35" s="39"/>
      <c r="LLH35" s="39"/>
      <c r="LLI35" s="39"/>
      <c r="LLJ35" s="39"/>
      <c r="LLK35" s="39"/>
      <c r="LLL35" s="39"/>
      <c r="LLM35" s="39"/>
      <c r="LLN35" s="39"/>
      <c r="LLO35" s="39"/>
      <c r="LLP35" s="39"/>
      <c r="LLQ35" s="39"/>
      <c r="LLR35" s="39"/>
      <c r="LLS35" s="39"/>
      <c r="LLT35" s="39"/>
      <c r="LLU35" s="39"/>
      <c r="LLV35" s="39"/>
      <c r="LLW35" s="39"/>
      <c r="LLX35" s="39"/>
      <c r="LLY35" s="39"/>
      <c r="LLZ35" s="39"/>
      <c r="LMA35" s="39"/>
      <c r="LMB35" s="39"/>
      <c r="LMC35" s="39"/>
      <c r="LMD35" s="39"/>
      <c r="LME35" s="39"/>
      <c r="LMF35" s="39"/>
      <c r="LMG35" s="39"/>
      <c r="LMH35" s="39"/>
      <c r="LMI35" s="39"/>
      <c r="LMJ35" s="39"/>
      <c r="LMK35" s="39"/>
      <c r="LML35" s="39"/>
      <c r="LMM35" s="39"/>
      <c r="LMN35" s="39"/>
      <c r="LMO35" s="39"/>
      <c r="LMP35" s="39"/>
      <c r="LMQ35" s="39"/>
      <c r="LMR35" s="39"/>
      <c r="LMS35" s="39"/>
      <c r="LMT35" s="39"/>
      <c r="LMU35" s="39"/>
      <c r="LMV35" s="39"/>
      <c r="LMW35" s="39"/>
      <c r="LMX35" s="39"/>
      <c r="LMY35" s="39"/>
      <c r="LMZ35" s="39"/>
      <c r="LNA35" s="39"/>
      <c r="LNB35" s="39"/>
      <c r="LNC35" s="39"/>
      <c r="LND35" s="39"/>
      <c r="LNE35" s="39"/>
      <c r="LNF35" s="39"/>
      <c r="LNG35" s="39"/>
      <c r="LNH35" s="39"/>
      <c r="LNI35" s="39"/>
      <c r="LNJ35" s="39"/>
      <c r="LNK35" s="39"/>
      <c r="LNL35" s="39"/>
      <c r="LNM35" s="39"/>
      <c r="LNN35" s="39"/>
      <c r="LNO35" s="39"/>
      <c r="LNP35" s="39"/>
      <c r="LNQ35" s="39"/>
      <c r="LNR35" s="39"/>
      <c r="LNS35" s="39"/>
      <c r="LNT35" s="39"/>
      <c r="LNU35" s="39"/>
      <c r="LNV35" s="39"/>
      <c r="LNW35" s="39"/>
      <c r="LNX35" s="39"/>
      <c r="LNY35" s="39"/>
      <c r="LNZ35" s="39"/>
      <c r="LOA35" s="39"/>
      <c r="LOB35" s="39"/>
      <c r="LOC35" s="39"/>
      <c r="LOD35" s="39"/>
      <c r="LOE35" s="39"/>
      <c r="LOF35" s="39"/>
      <c r="LOG35" s="39"/>
      <c r="LOH35" s="39"/>
      <c r="LOI35" s="39"/>
      <c r="LOJ35" s="39"/>
      <c r="LOK35" s="39"/>
      <c r="LOL35" s="39"/>
      <c r="LOM35" s="39"/>
      <c r="LON35" s="39"/>
      <c r="LOO35" s="39"/>
      <c r="LOP35" s="39"/>
      <c r="LOQ35" s="39"/>
      <c r="LOR35" s="39"/>
      <c r="LOS35" s="39"/>
      <c r="LOT35" s="39"/>
      <c r="LOU35" s="39"/>
      <c r="LOV35" s="39"/>
      <c r="LOW35" s="39"/>
      <c r="LOX35" s="39"/>
      <c r="LOY35" s="39"/>
      <c r="LOZ35" s="39"/>
      <c r="LPA35" s="39"/>
      <c r="LPB35" s="39"/>
      <c r="LPC35" s="39"/>
      <c r="LPD35" s="39"/>
      <c r="LPE35" s="39"/>
      <c r="LPF35" s="39"/>
      <c r="LPG35" s="39"/>
      <c r="LPH35" s="39"/>
      <c r="LPI35" s="39"/>
      <c r="LPJ35" s="39"/>
      <c r="LPK35" s="39"/>
      <c r="LPL35" s="39"/>
      <c r="LPM35" s="39"/>
      <c r="LPN35" s="39"/>
      <c r="LPO35" s="39"/>
      <c r="LPP35" s="39"/>
      <c r="LPQ35" s="39"/>
      <c r="LPR35" s="39"/>
      <c r="LPS35" s="39"/>
      <c r="LPT35" s="39"/>
      <c r="LPU35" s="39"/>
      <c r="LPV35" s="39"/>
      <c r="LPW35" s="39"/>
      <c r="LPX35" s="39"/>
      <c r="LPY35" s="39"/>
      <c r="LPZ35" s="39"/>
      <c r="LQA35" s="39"/>
      <c r="LQB35" s="39"/>
      <c r="LQC35" s="39"/>
      <c r="LQD35" s="39"/>
      <c r="LQE35" s="39"/>
      <c r="LQF35" s="39"/>
      <c r="LQG35" s="39"/>
      <c r="LQH35" s="39"/>
      <c r="LQI35" s="39"/>
      <c r="LQJ35" s="39"/>
      <c r="LQK35" s="39"/>
      <c r="LQL35" s="39"/>
      <c r="LQM35" s="39"/>
      <c r="LQN35" s="39"/>
      <c r="LQO35" s="39"/>
      <c r="LQP35" s="39"/>
      <c r="LQQ35" s="39"/>
      <c r="LQR35" s="39"/>
      <c r="LQS35" s="39"/>
      <c r="LQT35" s="39"/>
      <c r="LQU35" s="39"/>
      <c r="LQV35" s="39"/>
      <c r="LQW35" s="39"/>
      <c r="LQX35" s="39"/>
      <c r="LQY35" s="39"/>
      <c r="LQZ35" s="39"/>
      <c r="LRA35" s="39"/>
      <c r="LRB35" s="39"/>
      <c r="LRC35" s="39"/>
      <c r="LRD35" s="39"/>
      <c r="LRE35" s="39"/>
      <c r="LRF35" s="39"/>
      <c r="LRG35" s="39"/>
      <c r="LRH35" s="39"/>
      <c r="LRI35" s="39"/>
      <c r="LRJ35" s="39"/>
      <c r="LRK35" s="39"/>
      <c r="LRL35" s="39"/>
      <c r="LRM35" s="39"/>
      <c r="LRN35" s="39"/>
      <c r="LRO35" s="39"/>
      <c r="LRP35" s="39"/>
      <c r="LRQ35" s="39"/>
      <c r="LRR35" s="39"/>
      <c r="LRS35" s="39"/>
      <c r="LRT35" s="39"/>
      <c r="LRU35" s="39"/>
      <c r="LRV35" s="39"/>
      <c r="LRW35" s="39"/>
      <c r="LRX35" s="39"/>
      <c r="LRY35" s="39"/>
      <c r="LRZ35" s="39"/>
      <c r="LSA35" s="39"/>
      <c r="LSB35" s="39"/>
      <c r="LSC35" s="39"/>
      <c r="LSD35" s="39"/>
      <c r="LSE35" s="39"/>
      <c r="LSF35" s="39"/>
      <c r="LSG35" s="39"/>
      <c r="LSH35" s="39"/>
      <c r="LSI35" s="39"/>
      <c r="LSJ35" s="39"/>
      <c r="LSK35" s="39"/>
      <c r="LSL35" s="39"/>
      <c r="LSM35" s="39"/>
      <c r="LSN35" s="39"/>
      <c r="LSO35" s="39"/>
      <c r="LSP35" s="39"/>
      <c r="LSQ35" s="39"/>
      <c r="LSR35" s="39"/>
      <c r="LSS35" s="39"/>
      <c r="LST35" s="39"/>
      <c r="LSU35" s="39"/>
      <c r="LSV35" s="39"/>
      <c r="LSW35" s="39"/>
      <c r="LSX35" s="39"/>
      <c r="LSY35" s="39"/>
      <c r="LSZ35" s="39"/>
      <c r="LTA35" s="39"/>
      <c r="LTB35" s="39"/>
      <c r="LTC35" s="39"/>
      <c r="LTD35" s="39"/>
      <c r="LTE35" s="39"/>
      <c r="LTF35" s="39"/>
      <c r="LTG35" s="39"/>
      <c r="LTH35" s="39"/>
      <c r="LTI35" s="39"/>
      <c r="LTJ35" s="39"/>
      <c r="LTK35" s="39"/>
      <c r="LTL35" s="39"/>
      <c r="LTM35" s="39"/>
      <c r="LTN35" s="39"/>
      <c r="LTO35" s="39"/>
      <c r="LTP35" s="39"/>
      <c r="LTQ35" s="39"/>
      <c r="LTR35" s="39"/>
      <c r="LTS35" s="39"/>
      <c r="LTT35" s="39"/>
      <c r="LTU35" s="39"/>
      <c r="LTV35" s="39"/>
      <c r="LTW35" s="39"/>
      <c r="LTX35" s="39"/>
      <c r="LTY35" s="39"/>
      <c r="LTZ35" s="39"/>
      <c r="LUA35" s="39"/>
      <c r="LUB35" s="39"/>
      <c r="LUC35" s="39"/>
      <c r="LUD35" s="39"/>
      <c r="LUE35" s="39"/>
      <c r="LUF35" s="39"/>
      <c r="LUG35" s="39"/>
      <c r="LUH35" s="39"/>
      <c r="LUI35" s="39"/>
      <c r="LUJ35" s="39"/>
      <c r="LUK35" s="39"/>
      <c r="LUL35" s="39"/>
      <c r="LUM35" s="39"/>
      <c r="LUN35" s="39"/>
      <c r="LUO35" s="39"/>
      <c r="LUP35" s="39"/>
      <c r="LUQ35" s="39"/>
      <c r="LUR35" s="39"/>
      <c r="LUS35" s="39"/>
      <c r="LUT35" s="39"/>
      <c r="LUU35" s="39"/>
      <c r="LUV35" s="39"/>
      <c r="LUW35" s="39"/>
      <c r="LUX35" s="39"/>
      <c r="LUY35" s="39"/>
      <c r="LUZ35" s="39"/>
      <c r="LVA35" s="39"/>
      <c r="LVB35" s="39"/>
      <c r="LVC35" s="39"/>
      <c r="LVD35" s="39"/>
      <c r="LVE35" s="39"/>
      <c r="LVF35" s="39"/>
      <c r="LVG35" s="39"/>
      <c r="LVH35" s="39"/>
      <c r="LVI35" s="39"/>
      <c r="LVJ35" s="39"/>
      <c r="LVK35" s="39"/>
      <c r="LVL35" s="39"/>
      <c r="LVM35" s="39"/>
      <c r="LVN35" s="39"/>
      <c r="LVO35" s="39"/>
      <c r="LVP35" s="39"/>
      <c r="LVQ35" s="39"/>
      <c r="LVR35" s="39"/>
      <c r="LVS35" s="39"/>
      <c r="LVT35" s="39"/>
      <c r="LVU35" s="39"/>
      <c r="LVV35" s="39"/>
      <c r="LVW35" s="39"/>
      <c r="LVX35" s="39"/>
      <c r="LVY35" s="39"/>
      <c r="LVZ35" s="39"/>
      <c r="LWA35" s="39"/>
      <c r="LWB35" s="39"/>
      <c r="LWC35" s="39"/>
      <c r="LWD35" s="39"/>
      <c r="LWE35" s="39"/>
      <c r="LWF35" s="39"/>
      <c r="LWG35" s="39"/>
      <c r="LWH35" s="39"/>
      <c r="LWI35" s="39"/>
      <c r="LWJ35" s="39"/>
      <c r="LWK35" s="39"/>
      <c r="LWL35" s="39"/>
      <c r="LWM35" s="39"/>
      <c r="LWN35" s="39"/>
      <c r="LWO35" s="39"/>
      <c r="LWP35" s="39"/>
      <c r="LWQ35" s="39"/>
      <c r="LWR35" s="39"/>
      <c r="LWS35" s="39"/>
      <c r="LWT35" s="39"/>
      <c r="LWU35" s="39"/>
      <c r="LWV35" s="39"/>
      <c r="LWW35" s="39"/>
      <c r="LWX35" s="39"/>
      <c r="LWY35" s="39"/>
      <c r="LWZ35" s="39"/>
      <c r="LXA35" s="39"/>
      <c r="LXB35" s="39"/>
      <c r="LXC35" s="39"/>
      <c r="LXD35" s="39"/>
      <c r="LXE35" s="39"/>
      <c r="LXF35" s="39"/>
      <c r="LXG35" s="39"/>
      <c r="LXH35" s="39"/>
      <c r="LXI35" s="39"/>
      <c r="LXJ35" s="39"/>
      <c r="LXK35" s="39"/>
      <c r="LXL35" s="39"/>
      <c r="LXM35" s="39"/>
      <c r="LXN35" s="39"/>
      <c r="LXO35" s="39"/>
      <c r="LXP35" s="39"/>
      <c r="LXQ35" s="39"/>
      <c r="LXR35" s="39"/>
      <c r="LXS35" s="39"/>
      <c r="LXT35" s="39"/>
      <c r="LXU35" s="39"/>
      <c r="LXV35" s="39"/>
      <c r="LXW35" s="39"/>
      <c r="LXX35" s="39"/>
      <c r="LXY35" s="39"/>
      <c r="LXZ35" s="39"/>
      <c r="LYA35" s="39"/>
      <c r="LYB35" s="39"/>
      <c r="LYC35" s="39"/>
      <c r="LYD35" s="39"/>
      <c r="LYE35" s="39"/>
      <c r="LYF35" s="39"/>
      <c r="LYG35" s="39"/>
      <c r="LYH35" s="39"/>
      <c r="LYI35" s="39"/>
      <c r="LYJ35" s="39"/>
      <c r="LYK35" s="39"/>
      <c r="LYL35" s="39"/>
      <c r="LYM35" s="39"/>
      <c r="LYN35" s="39"/>
      <c r="LYO35" s="39"/>
      <c r="LYP35" s="39"/>
      <c r="LYQ35" s="39"/>
      <c r="LYR35" s="39"/>
      <c r="LYS35" s="39"/>
      <c r="LYT35" s="39"/>
      <c r="LYU35" s="39"/>
      <c r="LYV35" s="39"/>
      <c r="LYW35" s="39"/>
      <c r="LYX35" s="39"/>
      <c r="LYY35" s="39"/>
      <c r="LYZ35" s="39"/>
      <c r="LZA35" s="39"/>
      <c r="LZB35" s="39"/>
      <c r="LZC35" s="39"/>
      <c r="LZD35" s="39"/>
      <c r="LZE35" s="39"/>
      <c r="LZF35" s="39"/>
      <c r="LZG35" s="39"/>
      <c r="LZH35" s="39"/>
      <c r="LZI35" s="39"/>
      <c r="LZJ35" s="39"/>
      <c r="LZK35" s="39"/>
      <c r="LZL35" s="39"/>
      <c r="LZM35" s="39"/>
      <c r="LZN35" s="39"/>
      <c r="LZO35" s="39"/>
      <c r="LZP35" s="39"/>
      <c r="LZQ35" s="39"/>
      <c r="LZR35" s="39"/>
      <c r="LZS35" s="39"/>
      <c r="LZT35" s="39"/>
      <c r="LZU35" s="39"/>
      <c r="LZV35" s="39"/>
      <c r="LZW35" s="39"/>
      <c r="LZX35" s="39"/>
      <c r="LZY35" s="39"/>
      <c r="LZZ35" s="39"/>
      <c r="MAA35" s="39"/>
      <c r="MAB35" s="39"/>
      <c r="MAC35" s="39"/>
      <c r="MAD35" s="39"/>
      <c r="MAE35" s="39"/>
      <c r="MAF35" s="39"/>
      <c r="MAG35" s="39"/>
      <c r="MAH35" s="39"/>
      <c r="MAI35" s="39"/>
      <c r="MAJ35" s="39"/>
      <c r="MAK35" s="39"/>
      <c r="MAL35" s="39"/>
      <c r="MAM35" s="39"/>
      <c r="MAN35" s="39"/>
      <c r="MAO35" s="39"/>
      <c r="MAP35" s="39"/>
      <c r="MAQ35" s="39"/>
      <c r="MAR35" s="39"/>
      <c r="MAS35" s="39"/>
      <c r="MAT35" s="39"/>
      <c r="MAU35" s="39"/>
      <c r="MAV35" s="39"/>
      <c r="MAW35" s="39"/>
      <c r="MAX35" s="39"/>
      <c r="MAY35" s="39"/>
      <c r="MAZ35" s="39"/>
      <c r="MBA35" s="39"/>
      <c r="MBB35" s="39"/>
      <c r="MBC35" s="39"/>
      <c r="MBD35" s="39"/>
      <c r="MBE35" s="39"/>
      <c r="MBF35" s="39"/>
      <c r="MBG35" s="39"/>
      <c r="MBH35" s="39"/>
      <c r="MBI35" s="39"/>
      <c r="MBJ35" s="39"/>
      <c r="MBK35" s="39"/>
      <c r="MBL35" s="39"/>
      <c r="MBM35" s="39"/>
      <c r="MBN35" s="39"/>
      <c r="MBO35" s="39"/>
      <c r="MBP35" s="39"/>
      <c r="MBQ35" s="39"/>
      <c r="MBR35" s="39"/>
      <c r="MBS35" s="39"/>
      <c r="MBT35" s="39"/>
      <c r="MBU35" s="39"/>
      <c r="MBV35" s="39"/>
      <c r="MBW35" s="39"/>
      <c r="MBX35" s="39"/>
      <c r="MBY35" s="39"/>
      <c r="MBZ35" s="39"/>
      <c r="MCA35" s="39"/>
      <c r="MCB35" s="39"/>
      <c r="MCC35" s="39"/>
      <c r="MCD35" s="39"/>
      <c r="MCE35" s="39"/>
      <c r="MCF35" s="39"/>
      <c r="MCG35" s="39"/>
      <c r="MCH35" s="39"/>
      <c r="MCI35" s="39"/>
      <c r="MCJ35" s="39"/>
      <c r="MCK35" s="39"/>
      <c r="MCL35" s="39"/>
      <c r="MCM35" s="39"/>
      <c r="MCN35" s="39"/>
      <c r="MCO35" s="39"/>
      <c r="MCP35" s="39"/>
      <c r="MCQ35" s="39"/>
      <c r="MCR35" s="39"/>
      <c r="MCS35" s="39"/>
      <c r="MCT35" s="39"/>
      <c r="MCU35" s="39"/>
      <c r="MCV35" s="39"/>
      <c r="MCW35" s="39"/>
      <c r="MCX35" s="39"/>
      <c r="MCY35" s="39"/>
      <c r="MCZ35" s="39"/>
      <c r="MDA35" s="39"/>
      <c r="MDB35" s="39"/>
      <c r="MDC35" s="39"/>
      <c r="MDD35" s="39"/>
      <c r="MDE35" s="39"/>
      <c r="MDF35" s="39"/>
      <c r="MDG35" s="39"/>
      <c r="MDH35" s="39"/>
      <c r="MDI35" s="39"/>
      <c r="MDJ35" s="39"/>
      <c r="MDK35" s="39"/>
      <c r="MDL35" s="39"/>
      <c r="MDM35" s="39"/>
      <c r="MDN35" s="39"/>
      <c r="MDO35" s="39"/>
      <c r="MDP35" s="39"/>
      <c r="MDQ35" s="39"/>
      <c r="MDR35" s="39"/>
      <c r="MDS35" s="39"/>
      <c r="MDT35" s="39"/>
      <c r="MDU35" s="39"/>
      <c r="MDV35" s="39"/>
      <c r="MDW35" s="39"/>
      <c r="MDX35" s="39"/>
      <c r="MDY35" s="39"/>
      <c r="MDZ35" s="39"/>
      <c r="MEA35" s="39"/>
      <c r="MEB35" s="39"/>
      <c r="MEC35" s="39"/>
      <c r="MED35" s="39"/>
      <c r="MEE35" s="39"/>
      <c r="MEF35" s="39"/>
      <c r="MEG35" s="39"/>
      <c r="MEH35" s="39"/>
      <c r="MEI35" s="39"/>
      <c r="MEJ35" s="39"/>
      <c r="MEK35" s="39"/>
      <c r="MEL35" s="39"/>
      <c r="MEM35" s="39"/>
      <c r="MEN35" s="39"/>
      <c r="MEO35" s="39"/>
      <c r="MEP35" s="39"/>
      <c r="MEQ35" s="39"/>
      <c r="MER35" s="39"/>
      <c r="MES35" s="39"/>
      <c r="MET35" s="39"/>
      <c r="MEU35" s="39"/>
      <c r="MEV35" s="39"/>
      <c r="MEW35" s="39"/>
      <c r="MEX35" s="39"/>
      <c r="MEY35" s="39"/>
      <c r="MEZ35" s="39"/>
      <c r="MFA35" s="39"/>
      <c r="MFB35" s="39"/>
      <c r="MFC35" s="39"/>
      <c r="MFD35" s="39"/>
      <c r="MFE35" s="39"/>
      <c r="MFF35" s="39"/>
      <c r="MFG35" s="39"/>
      <c r="MFH35" s="39"/>
      <c r="MFI35" s="39"/>
      <c r="MFJ35" s="39"/>
      <c r="MFK35" s="39"/>
      <c r="MFL35" s="39"/>
      <c r="MFM35" s="39"/>
      <c r="MFN35" s="39"/>
      <c r="MFO35" s="39"/>
      <c r="MFP35" s="39"/>
      <c r="MFQ35" s="39"/>
      <c r="MFR35" s="39"/>
      <c r="MFS35" s="39"/>
      <c r="MFT35" s="39"/>
      <c r="MFU35" s="39"/>
      <c r="MFV35" s="39"/>
      <c r="MFW35" s="39"/>
      <c r="MFX35" s="39"/>
      <c r="MFY35" s="39"/>
      <c r="MFZ35" s="39"/>
      <c r="MGA35" s="39"/>
      <c r="MGB35" s="39"/>
      <c r="MGC35" s="39"/>
      <c r="MGD35" s="39"/>
      <c r="MGE35" s="39"/>
      <c r="MGF35" s="39"/>
      <c r="MGG35" s="39"/>
      <c r="MGH35" s="39"/>
      <c r="MGI35" s="39"/>
      <c r="MGJ35" s="39"/>
      <c r="MGK35" s="39"/>
      <c r="MGL35" s="39"/>
      <c r="MGM35" s="39"/>
      <c r="MGN35" s="39"/>
      <c r="MGO35" s="39"/>
      <c r="MGP35" s="39"/>
      <c r="MGQ35" s="39"/>
      <c r="MGR35" s="39"/>
      <c r="MGS35" s="39"/>
      <c r="MGT35" s="39"/>
      <c r="MGU35" s="39"/>
      <c r="MGV35" s="39"/>
      <c r="MGW35" s="39"/>
      <c r="MGX35" s="39"/>
      <c r="MGY35" s="39"/>
      <c r="MGZ35" s="39"/>
      <c r="MHA35" s="39"/>
      <c r="MHB35" s="39"/>
      <c r="MHC35" s="39"/>
      <c r="MHD35" s="39"/>
      <c r="MHE35" s="39"/>
      <c r="MHF35" s="39"/>
      <c r="MHG35" s="39"/>
      <c r="MHH35" s="39"/>
      <c r="MHI35" s="39"/>
      <c r="MHJ35" s="39"/>
      <c r="MHK35" s="39"/>
      <c r="MHL35" s="39"/>
      <c r="MHM35" s="39"/>
      <c r="MHN35" s="39"/>
      <c r="MHO35" s="39"/>
      <c r="MHP35" s="39"/>
      <c r="MHQ35" s="39"/>
      <c r="MHR35" s="39"/>
      <c r="MHS35" s="39"/>
      <c r="MHT35" s="39"/>
      <c r="MHU35" s="39"/>
      <c r="MHV35" s="39"/>
      <c r="MHW35" s="39"/>
      <c r="MHX35" s="39"/>
      <c r="MHY35" s="39"/>
      <c r="MHZ35" s="39"/>
      <c r="MIA35" s="39"/>
      <c r="MIB35" s="39"/>
      <c r="MIC35" s="39"/>
      <c r="MID35" s="39"/>
      <c r="MIE35" s="39"/>
      <c r="MIF35" s="39"/>
      <c r="MIG35" s="39"/>
      <c r="MIH35" s="39"/>
      <c r="MII35" s="39"/>
      <c r="MIJ35" s="39"/>
      <c r="MIK35" s="39"/>
      <c r="MIL35" s="39"/>
      <c r="MIM35" s="39"/>
      <c r="MIN35" s="39"/>
      <c r="MIO35" s="39"/>
      <c r="MIP35" s="39"/>
      <c r="MIQ35" s="39"/>
      <c r="MIR35" s="39"/>
      <c r="MIS35" s="39"/>
      <c r="MIT35" s="39"/>
      <c r="MIU35" s="39"/>
      <c r="MIV35" s="39"/>
      <c r="MIW35" s="39"/>
      <c r="MIX35" s="39"/>
      <c r="MIY35" s="39"/>
      <c r="MIZ35" s="39"/>
      <c r="MJA35" s="39"/>
      <c r="MJB35" s="39"/>
      <c r="MJC35" s="39"/>
      <c r="MJD35" s="39"/>
      <c r="MJE35" s="39"/>
      <c r="MJF35" s="39"/>
      <c r="MJG35" s="39"/>
      <c r="MJH35" s="39"/>
      <c r="MJI35" s="39"/>
      <c r="MJJ35" s="39"/>
      <c r="MJK35" s="39"/>
      <c r="MJL35" s="39"/>
      <c r="MJM35" s="39"/>
      <c r="MJN35" s="39"/>
      <c r="MJO35" s="39"/>
      <c r="MJP35" s="39"/>
      <c r="MJQ35" s="39"/>
      <c r="MJR35" s="39"/>
      <c r="MJS35" s="39"/>
      <c r="MJT35" s="39"/>
      <c r="MJU35" s="39"/>
      <c r="MJV35" s="39"/>
      <c r="MJW35" s="39"/>
      <c r="MJX35" s="39"/>
      <c r="MJY35" s="39"/>
      <c r="MJZ35" s="39"/>
      <c r="MKA35" s="39"/>
      <c r="MKB35" s="39"/>
      <c r="MKC35" s="39"/>
      <c r="MKD35" s="39"/>
      <c r="MKE35" s="39"/>
      <c r="MKF35" s="39"/>
      <c r="MKG35" s="39"/>
      <c r="MKH35" s="39"/>
      <c r="MKI35" s="39"/>
      <c r="MKJ35" s="39"/>
      <c r="MKK35" s="39"/>
      <c r="MKL35" s="39"/>
      <c r="MKM35" s="39"/>
      <c r="MKN35" s="39"/>
      <c r="MKO35" s="39"/>
      <c r="MKP35" s="39"/>
      <c r="MKQ35" s="39"/>
      <c r="MKR35" s="39"/>
      <c r="MKS35" s="39"/>
      <c r="MKT35" s="39"/>
      <c r="MKU35" s="39"/>
      <c r="MKV35" s="39"/>
      <c r="MKW35" s="39"/>
      <c r="MKX35" s="39"/>
      <c r="MKY35" s="39"/>
      <c r="MKZ35" s="39"/>
      <c r="MLA35" s="39"/>
      <c r="MLB35" s="39"/>
      <c r="MLC35" s="39"/>
      <c r="MLD35" s="39"/>
      <c r="MLE35" s="39"/>
      <c r="MLF35" s="39"/>
      <c r="MLG35" s="39"/>
      <c r="MLH35" s="39"/>
      <c r="MLI35" s="39"/>
      <c r="MLJ35" s="39"/>
      <c r="MLK35" s="39"/>
      <c r="MLL35" s="39"/>
      <c r="MLM35" s="39"/>
      <c r="MLN35" s="39"/>
      <c r="MLO35" s="39"/>
      <c r="MLP35" s="39"/>
      <c r="MLQ35" s="39"/>
      <c r="MLR35" s="39"/>
      <c r="MLS35" s="39"/>
      <c r="MLT35" s="39"/>
      <c r="MLU35" s="39"/>
      <c r="MLV35" s="39"/>
      <c r="MLW35" s="39"/>
      <c r="MLX35" s="39"/>
      <c r="MLY35" s="39"/>
      <c r="MLZ35" s="39"/>
      <c r="MMA35" s="39"/>
      <c r="MMB35" s="39"/>
      <c r="MMC35" s="39"/>
      <c r="MMD35" s="39"/>
      <c r="MME35" s="39"/>
      <c r="MMF35" s="39"/>
      <c r="MMG35" s="39"/>
      <c r="MMH35" s="39"/>
      <c r="MMI35" s="39"/>
      <c r="MMJ35" s="39"/>
      <c r="MMK35" s="39"/>
      <c r="MML35" s="39"/>
      <c r="MMM35" s="39"/>
      <c r="MMN35" s="39"/>
      <c r="MMO35" s="39"/>
      <c r="MMP35" s="39"/>
      <c r="MMQ35" s="39"/>
      <c r="MMR35" s="39"/>
      <c r="MMS35" s="39"/>
      <c r="MMT35" s="39"/>
      <c r="MMU35" s="39"/>
      <c r="MMV35" s="39"/>
      <c r="MMW35" s="39"/>
      <c r="MMX35" s="39"/>
      <c r="MMY35" s="39"/>
      <c r="MMZ35" s="39"/>
      <c r="MNA35" s="39"/>
      <c r="MNB35" s="39"/>
      <c r="MNC35" s="39"/>
      <c r="MND35" s="39"/>
      <c r="MNE35" s="39"/>
      <c r="MNF35" s="39"/>
      <c r="MNG35" s="39"/>
      <c r="MNH35" s="39"/>
      <c r="MNI35" s="39"/>
      <c r="MNJ35" s="39"/>
      <c r="MNK35" s="39"/>
      <c r="MNL35" s="39"/>
      <c r="MNM35" s="39"/>
      <c r="MNN35" s="39"/>
      <c r="MNO35" s="39"/>
      <c r="MNP35" s="39"/>
      <c r="MNQ35" s="39"/>
      <c r="MNR35" s="39"/>
      <c r="MNS35" s="39"/>
      <c r="MNT35" s="39"/>
      <c r="MNU35" s="39"/>
      <c r="MNV35" s="39"/>
      <c r="MNW35" s="39"/>
      <c r="MNX35" s="39"/>
      <c r="MNY35" s="39"/>
      <c r="MNZ35" s="39"/>
      <c r="MOA35" s="39"/>
      <c r="MOB35" s="39"/>
      <c r="MOC35" s="39"/>
      <c r="MOD35" s="39"/>
      <c r="MOE35" s="39"/>
      <c r="MOF35" s="39"/>
      <c r="MOG35" s="39"/>
      <c r="MOH35" s="39"/>
      <c r="MOI35" s="39"/>
      <c r="MOJ35" s="39"/>
      <c r="MOK35" s="39"/>
      <c r="MOL35" s="39"/>
      <c r="MOM35" s="39"/>
      <c r="MON35" s="39"/>
      <c r="MOO35" s="39"/>
      <c r="MOP35" s="39"/>
      <c r="MOQ35" s="39"/>
      <c r="MOR35" s="39"/>
      <c r="MOS35" s="39"/>
      <c r="MOT35" s="39"/>
      <c r="MOU35" s="39"/>
      <c r="MOV35" s="39"/>
      <c r="MOW35" s="39"/>
      <c r="MOX35" s="39"/>
      <c r="MOY35" s="39"/>
      <c r="MOZ35" s="39"/>
      <c r="MPA35" s="39"/>
      <c r="MPB35" s="39"/>
      <c r="MPC35" s="39"/>
      <c r="MPD35" s="39"/>
      <c r="MPE35" s="39"/>
      <c r="MPF35" s="39"/>
      <c r="MPG35" s="39"/>
      <c r="MPH35" s="39"/>
      <c r="MPI35" s="39"/>
      <c r="MPJ35" s="39"/>
      <c r="MPK35" s="39"/>
      <c r="MPL35" s="39"/>
      <c r="MPM35" s="39"/>
      <c r="MPN35" s="39"/>
      <c r="MPO35" s="39"/>
      <c r="MPP35" s="39"/>
      <c r="MPQ35" s="39"/>
      <c r="MPR35" s="39"/>
      <c r="MPS35" s="39"/>
      <c r="MPT35" s="39"/>
      <c r="MPU35" s="39"/>
      <c r="MPV35" s="39"/>
      <c r="MPW35" s="39"/>
      <c r="MPX35" s="39"/>
      <c r="MPY35" s="39"/>
      <c r="MPZ35" s="39"/>
      <c r="MQA35" s="39"/>
      <c r="MQB35" s="39"/>
      <c r="MQC35" s="39"/>
      <c r="MQD35" s="39"/>
      <c r="MQE35" s="39"/>
      <c r="MQF35" s="39"/>
      <c r="MQG35" s="39"/>
      <c r="MQH35" s="39"/>
      <c r="MQI35" s="39"/>
      <c r="MQJ35" s="39"/>
      <c r="MQK35" s="39"/>
      <c r="MQL35" s="39"/>
      <c r="MQM35" s="39"/>
      <c r="MQN35" s="39"/>
      <c r="MQO35" s="39"/>
      <c r="MQP35" s="39"/>
      <c r="MQQ35" s="39"/>
      <c r="MQR35" s="39"/>
      <c r="MQS35" s="39"/>
      <c r="MQT35" s="39"/>
      <c r="MQU35" s="39"/>
      <c r="MQV35" s="39"/>
      <c r="MQW35" s="39"/>
      <c r="MQX35" s="39"/>
      <c r="MQY35" s="39"/>
      <c r="MQZ35" s="39"/>
      <c r="MRA35" s="39"/>
      <c r="MRB35" s="39"/>
      <c r="MRC35" s="39"/>
      <c r="MRD35" s="39"/>
      <c r="MRE35" s="39"/>
      <c r="MRF35" s="39"/>
      <c r="MRG35" s="39"/>
      <c r="MRH35" s="39"/>
      <c r="MRI35" s="39"/>
      <c r="MRJ35" s="39"/>
      <c r="MRK35" s="39"/>
      <c r="MRL35" s="39"/>
      <c r="MRM35" s="39"/>
      <c r="MRN35" s="39"/>
      <c r="MRO35" s="39"/>
      <c r="MRP35" s="39"/>
      <c r="MRQ35" s="39"/>
      <c r="MRR35" s="39"/>
      <c r="MRS35" s="39"/>
      <c r="MRT35" s="39"/>
      <c r="MRU35" s="39"/>
      <c r="MRV35" s="39"/>
      <c r="MRW35" s="39"/>
      <c r="MRX35" s="39"/>
      <c r="MRY35" s="39"/>
      <c r="MRZ35" s="39"/>
      <c r="MSA35" s="39"/>
      <c r="MSB35" s="39"/>
      <c r="MSC35" s="39"/>
      <c r="MSD35" s="39"/>
      <c r="MSE35" s="39"/>
      <c r="MSF35" s="39"/>
      <c r="MSG35" s="39"/>
      <c r="MSH35" s="39"/>
      <c r="MSI35" s="39"/>
      <c r="MSJ35" s="39"/>
      <c r="MSK35" s="39"/>
      <c r="MSL35" s="39"/>
      <c r="MSM35" s="39"/>
      <c r="MSN35" s="39"/>
      <c r="MSO35" s="39"/>
      <c r="MSP35" s="39"/>
      <c r="MSQ35" s="39"/>
      <c r="MSR35" s="39"/>
      <c r="MSS35" s="39"/>
      <c r="MST35" s="39"/>
      <c r="MSU35" s="39"/>
      <c r="MSV35" s="39"/>
      <c r="MSW35" s="39"/>
      <c r="MSX35" s="39"/>
      <c r="MSY35" s="39"/>
      <c r="MSZ35" s="39"/>
      <c r="MTA35" s="39"/>
      <c r="MTB35" s="39"/>
      <c r="MTC35" s="39"/>
      <c r="MTD35" s="39"/>
      <c r="MTE35" s="39"/>
      <c r="MTF35" s="39"/>
      <c r="MTG35" s="39"/>
      <c r="MTH35" s="39"/>
      <c r="MTI35" s="39"/>
      <c r="MTJ35" s="39"/>
      <c r="MTK35" s="39"/>
      <c r="MTL35" s="39"/>
      <c r="MTM35" s="39"/>
      <c r="MTN35" s="39"/>
      <c r="MTO35" s="39"/>
      <c r="MTP35" s="39"/>
      <c r="MTQ35" s="39"/>
      <c r="MTR35" s="39"/>
      <c r="MTS35" s="39"/>
      <c r="MTT35" s="39"/>
      <c r="MTU35" s="39"/>
      <c r="MTV35" s="39"/>
      <c r="MTW35" s="39"/>
      <c r="MTX35" s="39"/>
      <c r="MTY35" s="39"/>
      <c r="MTZ35" s="39"/>
      <c r="MUA35" s="39"/>
      <c r="MUB35" s="39"/>
      <c r="MUC35" s="39"/>
      <c r="MUD35" s="39"/>
      <c r="MUE35" s="39"/>
      <c r="MUF35" s="39"/>
      <c r="MUG35" s="39"/>
      <c r="MUH35" s="39"/>
      <c r="MUI35" s="39"/>
      <c r="MUJ35" s="39"/>
      <c r="MUK35" s="39"/>
      <c r="MUL35" s="39"/>
      <c r="MUM35" s="39"/>
      <c r="MUN35" s="39"/>
      <c r="MUO35" s="39"/>
      <c r="MUP35" s="39"/>
      <c r="MUQ35" s="39"/>
      <c r="MUR35" s="39"/>
      <c r="MUS35" s="39"/>
      <c r="MUT35" s="39"/>
      <c r="MUU35" s="39"/>
      <c r="MUV35" s="39"/>
      <c r="MUW35" s="39"/>
      <c r="MUX35" s="39"/>
      <c r="MUY35" s="39"/>
      <c r="MUZ35" s="39"/>
      <c r="MVA35" s="39"/>
      <c r="MVB35" s="39"/>
      <c r="MVC35" s="39"/>
      <c r="MVD35" s="39"/>
      <c r="MVE35" s="39"/>
      <c r="MVF35" s="39"/>
      <c r="MVG35" s="39"/>
      <c r="MVH35" s="39"/>
      <c r="MVI35" s="39"/>
      <c r="MVJ35" s="39"/>
      <c r="MVK35" s="39"/>
      <c r="MVL35" s="39"/>
      <c r="MVM35" s="39"/>
      <c r="MVN35" s="39"/>
      <c r="MVO35" s="39"/>
      <c r="MVP35" s="39"/>
      <c r="MVQ35" s="39"/>
      <c r="MVR35" s="39"/>
      <c r="MVS35" s="39"/>
      <c r="MVT35" s="39"/>
      <c r="MVU35" s="39"/>
      <c r="MVV35" s="39"/>
      <c r="MVW35" s="39"/>
      <c r="MVX35" s="39"/>
      <c r="MVY35" s="39"/>
      <c r="MVZ35" s="39"/>
      <c r="MWA35" s="39"/>
      <c r="MWB35" s="39"/>
      <c r="MWC35" s="39"/>
      <c r="MWD35" s="39"/>
      <c r="MWE35" s="39"/>
      <c r="MWF35" s="39"/>
      <c r="MWG35" s="39"/>
      <c r="MWH35" s="39"/>
      <c r="MWI35" s="39"/>
      <c r="MWJ35" s="39"/>
      <c r="MWK35" s="39"/>
      <c r="MWL35" s="39"/>
      <c r="MWM35" s="39"/>
      <c r="MWN35" s="39"/>
      <c r="MWO35" s="39"/>
      <c r="MWP35" s="39"/>
      <c r="MWQ35" s="39"/>
      <c r="MWR35" s="39"/>
      <c r="MWS35" s="39"/>
      <c r="MWT35" s="39"/>
      <c r="MWU35" s="39"/>
      <c r="MWV35" s="39"/>
      <c r="MWW35" s="39"/>
      <c r="MWX35" s="39"/>
      <c r="MWY35" s="39"/>
      <c r="MWZ35" s="39"/>
      <c r="MXA35" s="39"/>
      <c r="MXB35" s="39"/>
      <c r="MXC35" s="39"/>
      <c r="MXD35" s="39"/>
      <c r="MXE35" s="39"/>
      <c r="MXF35" s="39"/>
      <c r="MXG35" s="39"/>
      <c r="MXH35" s="39"/>
      <c r="MXI35" s="39"/>
      <c r="MXJ35" s="39"/>
      <c r="MXK35" s="39"/>
      <c r="MXL35" s="39"/>
      <c r="MXM35" s="39"/>
      <c r="MXN35" s="39"/>
      <c r="MXO35" s="39"/>
      <c r="MXP35" s="39"/>
      <c r="MXQ35" s="39"/>
      <c r="MXR35" s="39"/>
      <c r="MXS35" s="39"/>
      <c r="MXT35" s="39"/>
      <c r="MXU35" s="39"/>
      <c r="MXV35" s="39"/>
      <c r="MXW35" s="39"/>
      <c r="MXX35" s="39"/>
      <c r="MXY35" s="39"/>
      <c r="MXZ35" s="39"/>
      <c r="MYA35" s="39"/>
      <c r="MYB35" s="39"/>
      <c r="MYC35" s="39"/>
      <c r="MYD35" s="39"/>
      <c r="MYE35" s="39"/>
      <c r="MYF35" s="39"/>
      <c r="MYG35" s="39"/>
      <c r="MYH35" s="39"/>
      <c r="MYI35" s="39"/>
      <c r="MYJ35" s="39"/>
      <c r="MYK35" s="39"/>
      <c r="MYL35" s="39"/>
      <c r="MYM35" s="39"/>
      <c r="MYN35" s="39"/>
      <c r="MYO35" s="39"/>
      <c r="MYP35" s="39"/>
      <c r="MYQ35" s="39"/>
      <c r="MYR35" s="39"/>
      <c r="MYS35" s="39"/>
      <c r="MYT35" s="39"/>
      <c r="MYU35" s="39"/>
      <c r="MYV35" s="39"/>
      <c r="MYW35" s="39"/>
      <c r="MYX35" s="39"/>
      <c r="MYY35" s="39"/>
      <c r="MYZ35" s="39"/>
      <c r="MZA35" s="39"/>
      <c r="MZB35" s="39"/>
      <c r="MZC35" s="39"/>
      <c r="MZD35" s="39"/>
      <c r="MZE35" s="39"/>
      <c r="MZF35" s="39"/>
      <c r="MZG35" s="39"/>
      <c r="MZH35" s="39"/>
      <c r="MZI35" s="39"/>
      <c r="MZJ35" s="39"/>
      <c r="MZK35" s="39"/>
      <c r="MZL35" s="39"/>
      <c r="MZM35" s="39"/>
      <c r="MZN35" s="39"/>
      <c r="MZO35" s="39"/>
      <c r="MZP35" s="39"/>
      <c r="MZQ35" s="39"/>
      <c r="MZR35" s="39"/>
      <c r="MZS35" s="39"/>
      <c r="MZT35" s="39"/>
      <c r="MZU35" s="39"/>
      <c r="MZV35" s="39"/>
      <c r="MZW35" s="39"/>
      <c r="MZX35" s="39"/>
      <c r="MZY35" s="39"/>
      <c r="MZZ35" s="39"/>
      <c r="NAA35" s="39"/>
      <c r="NAB35" s="39"/>
      <c r="NAC35" s="39"/>
      <c r="NAD35" s="39"/>
      <c r="NAE35" s="39"/>
      <c r="NAF35" s="39"/>
      <c r="NAG35" s="39"/>
      <c r="NAH35" s="39"/>
      <c r="NAI35" s="39"/>
      <c r="NAJ35" s="39"/>
      <c r="NAK35" s="39"/>
      <c r="NAL35" s="39"/>
      <c r="NAM35" s="39"/>
      <c r="NAN35" s="39"/>
      <c r="NAO35" s="39"/>
      <c r="NAP35" s="39"/>
      <c r="NAQ35" s="39"/>
      <c r="NAR35" s="39"/>
      <c r="NAS35" s="39"/>
      <c r="NAT35" s="39"/>
      <c r="NAU35" s="39"/>
      <c r="NAV35" s="39"/>
      <c r="NAW35" s="39"/>
      <c r="NAX35" s="39"/>
      <c r="NAY35" s="39"/>
      <c r="NAZ35" s="39"/>
      <c r="NBA35" s="39"/>
      <c r="NBB35" s="39"/>
      <c r="NBC35" s="39"/>
      <c r="NBD35" s="39"/>
      <c r="NBE35" s="39"/>
      <c r="NBF35" s="39"/>
      <c r="NBG35" s="39"/>
      <c r="NBH35" s="39"/>
      <c r="NBI35" s="39"/>
      <c r="NBJ35" s="39"/>
      <c r="NBK35" s="39"/>
      <c r="NBL35" s="39"/>
      <c r="NBM35" s="39"/>
      <c r="NBN35" s="39"/>
      <c r="NBO35" s="39"/>
      <c r="NBP35" s="39"/>
      <c r="NBQ35" s="39"/>
      <c r="NBR35" s="39"/>
      <c r="NBS35" s="39"/>
      <c r="NBT35" s="39"/>
      <c r="NBU35" s="39"/>
      <c r="NBV35" s="39"/>
      <c r="NBW35" s="39"/>
      <c r="NBX35" s="39"/>
      <c r="NBY35" s="39"/>
      <c r="NBZ35" s="39"/>
      <c r="NCA35" s="39"/>
      <c r="NCB35" s="39"/>
      <c r="NCC35" s="39"/>
      <c r="NCD35" s="39"/>
      <c r="NCE35" s="39"/>
      <c r="NCF35" s="39"/>
      <c r="NCG35" s="39"/>
      <c r="NCH35" s="39"/>
      <c r="NCI35" s="39"/>
      <c r="NCJ35" s="39"/>
      <c r="NCK35" s="39"/>
      <c r="NCL35" s="39"/>
      <c r="NCM35" s="39"/>
      <c r="NCN35" s="39"/>
      <c r="NCO35" s="39"/>
      <c r="NCP35" s="39"/>
      <c r="NCQ35" s="39"/>
      <c r="NCR35" s="39"/>
      <c r="NCS35" s="39"/>
      <c r="NCT35" s="39"/>
      <c r="NCU35" s="39"/>
      <c r="NCV35" s="39"/>
      <c r="NCW35" s="39"/>
      <c r="NCX35" s="39"/>
      <c r="NCY35" s="39"/>
      <c r="NCZ35" s="39"/>
      <c r="NDA35" s="39"/>
      <c r="NDB35" s="39"/>
      <c r="NDC35" s="39"/>
      <c r="NDD35" s="39"/>
      <c r="NDE35" s="39"/>
      <c r="NDF35" s="39"/>
      <c r="NDG35" s="39"/>
      <c r="NDH35" s="39"/>
      <c r="NDI35" s="39"/>
      <c r="NDJ35" s="39"/>
      <c r="NDK35" s="39"/>
      <c r="NDL35" s="39"/>
      <c r="NDM35" s="39"/>
      <c r="NDN35" s="39"/>
      <c r="NDO35" s="39"/>
      <c r="NDP35" s="39"/>
      <c r="NDQ35" s="39"/>
      <c r="NDR35" s="39"/>
      <c r="NDS35" s="39"/>
      <c r="NDT35" s="39"/>
      <c r="NDU35" s="39"/>
      <c r="NDV35" s="39"/>
      <c r="NDW35" s="39"/>
      <c r="NDX35" s="39"/>
      <c r="NDY35" s="39"/>
      <c r="NDZ35" s="39"/>
      <c r="NEA35" s="39"/>
      <c r="NEB35" s="39"/>
      <c r="NEC35" s="39"/>
      <c r="NED35" s="39"/>
      <c r="NEE35" s="39"/>
      <c r="NEF35" s="39"/>
      <c r="NEG35" s="39"/>
      <c r="NEH35" s="39"/>
      <c r="NEI35" s="39"/>
      <c r="NEJ35" s="39"/>
      <c r="NEK35" s="39"/>
      <c r="NEL35" s="39"/>
      <c r="NEM35" s="39"/>
      <c r="NEN35" s="39"/>
      <c r="NEO35" s="39"/>
      <c r="NEP35" s="39"/>
      <c r="NEQ35" s="39"/>
      <c r="NER35" s="39"/>
      <c r="NES35" s="39"/>
      <c r="NET35" s="39"/>
      <c r="NEU35" s="39"/>
      <c r="NEV35" s="39"/>
      <c r="NEW35" s="39"/>
      <c r="NEX35" s="39"/>
      <c r="NEY35" s="39"/>
      <c r="NEZ35" s="39"/>
      <c r="NFA35" s="39"/>
      <c r="NFB35" s="39"/>
      <c r="NFC35" s="39"/>
      <c r="NFD35" s="39"/>
      <c r="NFE35" s="39"/>
      <c r="NFF35" s="39"/>
      <c r="NFG35" s="39"/>
      <c r="NFH35" s="39"/>
      <c r="NFI35" s="39"/>
      <c r="NFJ35" s="39"/>
      <c r="NFK35" s="39"/>
      <c r="NFL35" s="39"/>
      <c r="NFM35" s="39"/>
      <c r="NFN35" s="39"/>
      <c r="NFO35" s="39"/>
      <c r="NFP35" s="39"/>
      <c r="NFQ35" s="39"/>
      <c r="NFR35" s="39"/>
      <c r="NFS35" s="39"/>
      <c r="NFT35" s="39"/>
      <c r="NFU35" s="39"/>
      <c r="NFV35" s="39"/>
      <c r="NFW35" s="39"/>
      <c r="NFX35" s="39"/>
      <c r="NFY35" s="39"/>
      <c r="NFZ35" s="39"/>
      <c r="NGA35" s="39"/>
      <c r="NGB35" s="39"/>
      <c r="NGC35" s="39"/>
      <c r="NGD35" s="39"/>
      <c r="NGE35" s="39"/>
      <c r="NGF35" s="39"/>
      <c r="NGG35" s="39"/>
      <c r="NGH35" s="39"/>
      <c r="NGI35" s="39"/>
      <c r="NGJ35" s="39"/>
      <c r="NGK35" s="39"/>
      <c r="NGL35" s="39"/>
      <c r="NGM35" s="39"/>
      <c r="NGN35" s="39"/>
      <c r="NGO35" s="39"/>
      <c r="NGP35" s="39"/>
      <c r="NGQ35" s="39"/>
      <c r="NGR35" s="39"/>
      <c r="NGS35" s="39"/>
      <c r="NGT35" s="39"/>
      <c r="NGU35" s="39"/>
      <c r="NGV35" s="39"/>
      <c r="NGW35" s="39"/>
      <c r="NGX35" s="39"/>
      <c r="NGY35" s="39"/>
      <c r="NGZ35" s="39"/>
      <c r="NHA35" s="39"/>
      <c r="NHB35" s="39"/>
      <c r="NHC35" s="39"/>
      <c r="NHD35" s="39"/>
      <c r="NHE35" s="39"/>
      <c r="NHF35" s="39"/>
      <c r="NHG35" s="39"/>
      <c r="NHH35" s="39"/>
      <c r="NHI35" s="39"/>
      <c r="NHJ35" s="39"/>
      <c r="NHK35" s="39"/>
      <c r="NHL35" s="39"/>
      <c r="NHM35" s="39"/>
      <c r="NHN35" s="39"/>
      <c r="NHO35" s="39"/>
      <c r="NHP35" s="39"/>
      <c r="NHQ35" s="39"/>
      <c r="NHR35" s="39"/>
      <c r="NHS35" s="39"/>
      <c r="NHT35" s="39"/>
      <c r="NHU35" s="39"/>
      <c r="NHV35" s="39"/>
      <c r="NHW35" s="39"/>
      <c r="NHX35" s="39"/>
      <c r="NHY35" s="39"/>
      <c r="NHZ35" s="39"/>
      <c r="NIA35" s="39"/>
      <c r="NIB35" s="39"/>
      <c r="NIC35" s="39"/>
      <c r="NID35" s="39"/>
      <c r="NIE35" s="39"/>
      <c r="NIF35" s="39"/>
      <c r="NIG35" s="39"/>
      <c r="NIH35" s="39"/>
      <c r="NII35" s="39"/>
      <c r="NIJ35" s="39"/>
      <c r="NIK35" s="39"/>
      <c r="NIL35" s="39"/>
      <c r="NIM35" s="39"/>
      <c r="NIN35" s="39"/>
      <c r="NIO35" s="39"/>
      <c r="NIP35" s="39"/>
      <c r="NIQ35" s="39"/>
      <c r="NIR35" s="39"/>
      <c r="NIS35" s="39"/>
      <c r="NIT35" s="39"/>
      <c r="NIU35" s="39"/>
      <c r="NIV35" s="39"/>
      <c r="NIW35" s="39"/>
      <c r="NIX35" s="39"/>
      <c r="NIY35" s="39"/>
      <c r="NIZ35" s="39"/>
      <c r="NJA35" s="39"/>
      <c r="NJB35" s="39"/>
      <c r="NJC35" s="39"/>
      <c r="NJD35" s="39"/>
      <c r="NJE35" s="39"/>
      <c r="NJF35" s="39"/>
      <c r="NJG35" s="39"/>
      <c r="NJH35" s="39"/>
      <c r="NJI35" s="39"/>
      <c r="NJJ35" s="39"/>
      <c r="NJK35" s="39"/>
      <c r="NJL35" s="39"/>
      <c r="NJM35" s="39"/>
      <c r="NJN35" s="39"/>
      <c r="NJO35" s="39"/>
      <c r="NJP35" s="39"/>
      <c r="NJQ35" s="39"/>
      <c r="NJR35" s="39"/>
      <c r="NJS35" s="39"/>
      <c r="NJT35" s="39"/>
      <c r="NJU35" s="39"/>
      <c r="NJV35" s="39"/>
      <c r="NJW35" s="39"/>
      <c r="NJX35" s="39"/>
      <c r="NJY35" s="39"/>
      <c r="NJZ35" s="39"/>
      <c r="NKA35" s="39"/>
      <c r="NKB35" s="39"/>
      <c r="NKC35" s="39"/>
      <c r="NKD35" s="39"/>
      <c r="NKE35" s="39"/>
      <c r="NKF35" s="39"/>
      <c r="NKG35" s="39"/>
      <c r="NKH35" s="39"/>
      <c r="NKI35" s="39"/>
      <c r="NKJ35" s="39"/>
      <c r="NKK35" s="39"/>
      <c r="NKL35" s="39"/>
      <c r="NKM35" s="39"/>
      <c r="NKN35" s="39"/>
      <c r="NKO35" s="39"/>
      <c r="NKP35" s="39"/>
      <c r="NKQ35" s="39"/>
      <c r="NKR35" s="39"/>
      <c r="NKS35" s="39"/>
      <c r="NKT35" s="39"/>
      <c r="NKU35" s="39"/>
      <c r="NKV35" s="39"/>
      <c r="NKW35" s="39"/>
      <c r="NKX35" s="39"/>
      <c r="NKY35" s="39"/>
      <c r="NKZ35" s="39"/>
      <c r="NLA35" s="39"/>
      <c r="NLB35" s="39"/>
      <c r="NLC35" s="39"/>
      <c r="NLD35" s="39"/>
      <c r="NLE35" s="39"/>
      <c r="NLF35" s="39"/>
      <c r="NLG35" s="39"/>
      <c r="NLH35" s="39"/>
      <c r="NLI35" s="39"/>
      <c r="NLJ35" s="39"/>
      <c r="NLK35" s="39"/>
      <c r="NLL35" s="39"/>
      <c r="NLM35" s="39"/>
      <c r="NLN35" s="39"/>
      <c r="NLO35" s="39"/>
      <c r="NLP35" s="39"/>
      <c r="NLQ35" s="39"/>
      <c r="NLR35" s="39"/>
      <c r="NLS35" s="39"/>
      <c r="NLT35" s="39"/>
      <c r="NLU35" s="39"/>
      <c r="NLV35" s="39"/>
      <c r="NLW35" s="39"/>
      <c r="NLX35" s="39"/>
      <c r="NLY35" s="39"/>
      <c r="NLZ35" s="39"/>
      <c r="NMA35" s="39"/>
      <c r="NMB35" s="39"/>
      <c r="NMC35" s="39"/>
      <c r="NMD35" s="39"/>
      <c r="NME35" s="39"/>
      <c r="NMF35" s="39"/>
      <c r="NMG35" s="39"/>
      <c r="NMH35" s="39"/>
      <c r="NMI35" s="39"/>
      <c r="NMJ35" s="39"/>
      <c r="NMK35" s="39"/>
      <c r="NML35" s="39"/>
      <c r="NMM35" s="39"/>
      <c r="NMN35" s="39"/>
      <c r="NMO35" s="39"/>
      <c r="NMP35" s="39"/>
      <c r="NMQ35" s="39"/>
      <c r="NMR35" s="39"/>
      <c r="NMS35" s="39"/>
      <c r="NMT35" s="39"/>
      <c r="NMU35" s="39"/>
      <c r="NMV35" s="39"/>
      <c r="NMW35" s="39"/>
      <c r="NMX35" s="39"/>
      <c r="NMY35" s="39"/>
      <c r="NMZ35" s="39"/>
      <c r="NNA35" s="39"/>
      <c r="NNB35" s="39"/>
      <c r="NNC35" s="39"/>
      <c r="NND35" s="39"/>
      <c r="NNE35" s="39"/>
      <c r="NNF35" s="39"/>
      <c r="NNG35" s="39"/>
      <c r="NNH35" s="39"/>
      <c r="NNI35" s="39"/>
      <c r="NNJ35" s="39"/>
      <c r="NNK35" s="39"/>
      <c r="NNL35" s="39"/>
      <c r="NNM35" s="39"/>
      <c r="NNN35" s="39"/>
      <c r="NNO35" s="39"/>
      <c r="NNP35" s="39"/>
      <c r="NNQ35" s="39"/>
      <c r="NNR35" s="39"/>
      <c r="NNS35" s="39"/>
      <c r="NNT35" s="39"/>
      <c r="NNU35" s="39"/>
      <c r="NNV35" s="39"/>
      <c r="NNW35" s="39"/>
      <c r="NNX35" s="39"/>
      <c r="NNY35" s="39"/>
      <c r="NNZ35" s="39"/>
      <c r="NOA35" s="39"/>
      <c r="NOB35" s="39"/>
      <c r="NOC35" s="39"/>
      <c r="NOD35" s="39"/>
      <c r="NOE35" s="39"/>
      <c r="NOF35" s="39"/>
      <c r="NOG35" s="39"/>
      <c r="NOH35" s="39"/>
      <c r="NOI35" s="39"/>
      <c r="NOJ35" s="39"/>
      <c r="NOK35" s="39"/>
      <c r="NOL35" s="39"/>
      <c r="NOM35" s="39"/>
      <c r="NON35" s="39"/>
      <c r="NOO35" s="39"/>
      <c r="NOP35" s="39"/>
      <c r="NOQ35" s="39"/>
      <c r="NOR35" s="39"/>
      <c r="NOS35" s="39"/>
      <c r="NOT35" s="39"/>
      <c r="NOU35" s="39"/>
      <c r="NOV35" s="39"/>
      <c r="NOW35" s="39"/>
      <c r="NOX35" s="39"/>
      <c r="NOY35" s="39"/>
      <c r="NOZ35" s="39"/>
      <c r="NPA35" s="39"/>
      <c r="NPB35" s="39"/>
      <c r="NPC35" s="39"/>
      <c r="NPD35" s="39"/>
      <c r="NPE35" s="39"/>
      <c r="NPF35" s="39"/>
      <c r="NPG35" s="39"/>
      <c r="NPH35" s="39"/>
      <c r="NPI35" s="39"/>
      <c r="NPJ35" s="39"/>
      <c r="NPK35" s="39"/>
      <c r="NPL35" s="39"/>
      <c r="NPM35" s="39"/>
      <c r="NPN35" s="39"/>
      <c r="NPO35" s="39"/>
      <c r="NPP35" s="39"/>
      <c r="NPQ35" s="39"/>
      <c r="NPR35" s="39"/>
      <c r="NPS35" s="39"/>
      <c r="NPT35" s="39"/>
      <c r="NPU35" s="39"/>
      <c r="NPV35" s="39"/>
      <c r="NPW35" s="39"/>
      <c r="NPX35" s="39"/>
      <c r="NPY35" s="39"/>
      <c r="NPZ35" s="39"/>
      <c r="NQA35" s="39"/>
      <c r="NQB35" s="39"/>
      <c r="NQC35" s="39"/>
      <c r="NQD35" s="39"/>
      <c r="NQE35" s="39"/>
      <c r="NQF35" s="39"/>
      <c r="NQG35" s="39"/>
      <c r="NQH35" s="39"/>
      <c r="NQI35" s="39"/>
      <c r="NQJ35" s="39"/>
      <c r="NQK35" s="39"/>
      <c r="NQL35" s="39"/>
      <c r="NQM35" s="39"/>
      <c r="NQN35" s="39"/>
      <c r="NQO35" s="39"/>
      <c r="NQP35" s="39"/>
      <c r="NQQ35" s="39"/>
      <c r="NQR35" s="39"/>
      <c r="NQS35" s="39"/>
      <c r="NQT35" s="39"/>
      <c r="NQU35" s="39"/>
      <c r="NQV35" s="39"/>
      <c r="NQW35" s="39"/>
      <c r="NQX35" s="39"/>
      <c r="NQY35" s="39"/>
      <c r="NQZ35" s="39"/>
      <c r="NRA35" s="39"/>
      <c r="NRB35" s="39"/>
      <c r="NRC35" s="39"/>
      <c r="NRD35" s="39"/>
      <c r="NRE35" s="39"/>
      <c r="NRF35" s="39"/>
      <c r="NRG35" s="39"/>
      <c r="NRH35" s="39"/>
      <c r="NRI35" s="39"/>
      <c r="NRJ35" s="39"/>
      <c r="NRK35" s="39"/>
      <c r="NRL35" s="39"/>
      <c r="NRM35" s="39"/>
      <c r="NRN35" s="39"/>
      <c r="NRO35" s="39"/>
      <c r="NRP35" s="39"/>
      <c r="NRQ35" s="39"/>
      <c r="NRR35" s="39"/>
      <c r="NRS35" s="39"/>
      <c r="NRT35" s="39"/>
      <c r="NRU35" s="39"/>
      <c r="NRV35" s="39"/>
      <c r="NRW35" s="39"/>
      <c r="NRX35" s="39"/>
      <c r="NRY35" s="39"/>
      <c r="NRZ35" s="39"/>
      <c r="NSA35" s="39"/>
      <c r="NSB35" s="39"/>
      <c r="NSC35" s="39"/>
      <c r="NSD35" s="39"/>
      <c r="NSE35" s="39"/>
      <c r="NSF35" s="39"/>
      <c r="NSG35" s="39"/>
      <c r="NSH35" s="39"/>
      <c r="NSI35" s="39"/>
      <c r="NSJ35" s="39"/>
      <c r="NSK35" s="39"/>
      <c r="NSL35" s="39"/>
      <c r="NSM35" s="39"/>
      <c r="NSN35" s="39"/>
      <c r="NSO35" s="39"/>
      <c r="NSP35" s="39"/>
      <c r="NSQ35" s="39"/>
      <c r="NSR35" s="39"/>
      <c r="NSS35" s="39"/>
      <c r="NST35" s="39"/>
      <c r="NSU35" s="39"/>
      <c r="NSV35" s="39"/>
      <c r="NSW35" s="39"/>
      <c r="NSX35" s="39"/>
      <c r="NSY35" s="39"/>
      <c r="NSZ35" s="39"/>
      <c r="NTA35" s="39"/>
      <c r="NTB35" s="39"/>
      <c r="NTC35" s="39"/>
      <c r="NTD35" s="39"/>
      <c r="NTE35" s="39"/>
      <c r="NTF35" s="39"/>
      <c r="NTG35" s="39"/>
      <c r="NTH35" s="39"/>
      <c r="NTI35" s="39"/>
      <c r="NTJ35" s="39"/>
      <c r="NTK35" s="39"/>
      <c r="NTL35" s="39"/>
      <c r="NTM35" s="39"/>
      <c r="NTN35" s="39"/>
      <c r="NTO35" s="39"/>
      <c r="NTP35" s="39"/>
      <c r="NTQ35" s="39"/>
      <c r="NTR35" s="39"/>
      <c r="NTS35" s="39"/>
      <c r="NTT35" s="39"/>
      <c r="NTU35" s="39"/>
      <c r="NTV35" s="39"/>
      <c r="NTW35" s="39"/>
      <c r="NTX35" s="39"/>
      <c r="NTY35" s="39"/>
      <c r="NTZ35" s="39"/>
      <c r="NUA35" s="39"/>
      <c r="NUB35" s="39"/>
      <c r="NUC35" s="39"/>
      <c r="NUD35" s="39"/>
      <c r="NUE35" s="39"/>
      <c r="NUF35" s="39"/>
      <c r="NUG35" s="39"/>
      <c r="NUH35" s="39"/>
      <c r="NUI35" s="39"/>
      <c r="NUJ35" s="39"/>
      <c r="NUK35" s="39"/>
      <c r="NUL35" s="39"/>
      <c r="NUM35" s="39"/>
      <c r="NUN35" s="39"/>
      <c r="NUO35" s="39"/>
      <c r="NUP35" s="39"/>
      <c r="NUQ35" s="39"/>
      <c r="NUR35" s="39"/>
      <c r="NUS35" s="39"/>
      <c r="NUT35" s="39"/>
      <c r="NUU35" s="39"/>
      <c r="NUV35" s="39"/>
      <c r="NUW35" s="39"/>
      <c r="NUX35" s="39"/>
      <c r="NUY35" s="39"/>
      <c r="NUZ35" s="39"/>
      <c r="NVA35" s="39"/>
      <c r="NVB35" s="39"/>
      <c r="NVC35" s="39"/>
      <c r="NVD35" s="39"/>
      <c r="NVE35" s="39"/>
      <c r="NVF35" s="39"/>
      <c r="NVG35" s="39"/>
      <c r="NVH35" s="39"/>
      <c r="NVI35" s="39"/>
      <c r="NVJ35" s="39"/>
      <c r="NVK35" s="39"/>
      <c r="NVL35" s="39"/>
      <c r="NVM35" s="39"/>
      <c r="NVN35" s="39"/>
      <c r="NVO35" s="39"/>
      <c r="NVP35" s="39"/>
      <c r="NVQ35" s="39"/>
      <c r="NVR35" s="39"/>
      <c r="NVS35" s="39"/>
      <c r="NVT35" s="39"/>
      <c r="NVU35" s="39"/>
      <c r="NVV35" s="39"/>
      <c r="NVW35" s="39"/>
      <c r="NVX35" s="39"/>
      <c r="NVY35" s="39"/>
      <c r="NVZ35" s="39"/>
      <c r="NWA35" s="39"/>
      <c r="NWB35" s="39"/>
      <c r="NWC35" s="39"/>
      <c r="NWD35" s="39"/>
      <c r="NWE35" s="39"/>
      <c r="NWF35" s="39"/>
      <c r="NWG35" s="39"/>
      <c r="NWH35" s="39"/>
      <c r="NWI35" s="39"/>
      <c r="NWJ35" s="39"/>
      <c r="NWK35" s="39"/>
      <c r="NWL35" s="39"/>
      <c r="NWM35" s="39"/>
      <c r="NWN35" s="39"/>
      <c r="NWO35" s="39"/>
      <c r="NWP35" s="39"/>
      <c r="NWQ35" s="39"/>
      <c r="NWR35" s="39"/>
      <c r="NWS35" s="39"/>
      <c r="NWT35" s="39"/>
      <c r="NWU35" s="39"/>
      <c r="NWV35" s="39"/>
      <c r="NWW35" s="39"/>
      <c r="NWX35" s="39"/>
      <c r="NWY35" s="39"/>
      <c r="NWZ35" s="39"/>
      <c r="NXA35" s="39"/>
      <c r="NXB35" s="39"/>
      <c r="NXC35" s="39"/>
      <c r="NXD35" s="39"/>
      <c r="NXE35" s="39"/>
      <c r="NXF35" s="39"/>
      <c r="NXG35" s="39"/>
      <c r="NXH35" s="39"/>
      <c r="NXI35" s="39"/>
      <c r="NXJ35" s="39"/>
      <c r="NXK35" s="39"/>
      <c r="NXL35" s="39"/>
      <c r="NXM35" s="39"/>
      <c r="NXN35" s="39"/>
      <c r="NXO35" s="39"/>
      <c r="NXP35" s="39"/>
      <c r="NXQ35" s="39"/>
      <c r="NXR35" s="39"/>
      <c r="NXS35" s="39"/>
      <c r="NXT35" s="39"/>
      <c r="NXU35" s="39"/>
      <c r="NXV35" s="39"/>
      <c r="NXW35" s="39"/>
      <c r="NXX35" s="39"/>
      <c r="NXY35" s="39"/>
      <c r="NXZ35" s="39"/>
      <c r="NYA35" s="39"/>
      <c r="NYB35" s="39"/>
      <c r="NYC35" s="39"/>
      <c r="NYD35" s="39"/>
      <c r="NYE35" s="39"/>
      <c r="NYF35" s="39"/>
      <c r="NYG35" s="39"/>
      <c r="NYH35" s="39"/>
      <c r="NYI35" s="39"/>
      <c r="NYJ35" s="39"/>
      <c r="NYK35" s="39"/>
      <c r="NYL35" s="39"/>
      <c r="NYM35" s="39"/>
      <c r="NYN35" s="39"/>
      <c r="NYO35" s="39"/>
      <c r="NYP35" s="39"/>
      <c r="NYQ35" s="39"/>
      <c r="NYR35" s="39"/>
      <c r="NYS35" s="39"/>
      <c r="NYT35" s="39"/>
      <c r="NYU35" s="39"/>
      <c r="NYV35" s="39"/>
      <c r="NYW35" s="39"/>
      <c r="NYX35" s="39"/>
      <c r="NYY35" s="39"/>
      <c r="NYZ35" s="39"/>
      <c r="NZA35" s="39"/>
      <c r="NZB35" s="39"/>
      <c r="NZC35" s="39"/>
      <c r="NZD35" s="39"/>
      <c r="NZE35" s="39"/>
      <c r="NZF35" s="39"/>
      <c r="NZG35" s="39"/>
      <c r="NZH35" s="39"/>
      <c r="NZI35" s="39"/>
      <c r="NZJ35" s="39"/>
      <c r="NZK35" s="39"/>
      <c r="NZL35" s="39"/>
      <c r="NZM35" s="39"/>
      <c r="NZN35" s="39"/>
      <c r="NZO35" s="39"/>
      <c r="NZP35" s="39"/>
      <c r="NZQ35" s="39"/>
      <c r="NZR35" s="39"/>
      <c r="NZS35" s="39"/>
      <c r="NZT35" s="39"/>
      <c r="NZU35" s="39"/>
      <c r="NZV35" s="39"/>
      <c r="NZW35" s="39"/>
      <c r="NZX35" s="39"/>
      <c r="NZY35" s="39"/>
      <c r="NZZ35" s="39"/>
      <c r="OAA35" s="39"/>
      <c r="OAB35" s="39"/>
      <c r="OAC35" s="39"/>
      <c r="OAD35" s="39"/>
      <c r="OAE35" s="39"/>
      <c r="OAF35" s="39"/>
      <c r="OAG35" s="39"/>
      <c r="OAH35" s="39"/>
      <c r="OAI35" s="39"/>
      <c r="OAJ35" s="39"/>
      <c r="OAK35" s="39"/>
      <c r="OAL35" s="39"/>
      <c r="OAM35" s="39"/>
      <c r="OAN35" s="39"/>
      <c r="OAO35" s="39"/>
      <c r="OAP35" s="39"/>
      <c r="OAQ35" s="39"/>
      <c r="OAR35" s="39"/>
      <c r="OAS35" s="39"/>
      <c r="OAT35" s="39"/>
      <c r="OAU35" s="39"/>
      <c r="OAV35" s="39"/>
      <c r="OAW35" s="39"/>
      <c r="OAX35" s="39"/>
      <c r="OAY35" s="39"/>
      <c r="OAZ35" s="39"/>
      <c r="OBA35" s="39"/>
      <c r="OBB35" s="39"/>
      <c r="OBC35" s="39"/>
      <c r="OBD35" s="39"/>
      <c r="OBE35" s="39"/>
      <c r="OBF35" s="39"/>
      <c r="OBG35" s="39"/>
      <c r="OBH35" s="39"/>
      <c r="OBI35" s="39"/>
      <c r="OBJ35" s="39"/>
      <c r="OBK35" s="39"/>
      <c r="OBL35" s="39"/>
      <c r="OBM35" s="39"/>
      <c r="OBN35" s="39"/>
      <c r="OBO35" s="39"/>
      <c r="OBP35" s="39"/>
      <c r="OBQ35" s="39"/>
      <c r="OBR35" s="39"/>
      <c r="OBS35" s="39"/>
      <c r="OBT35" s="39"/>
      <c r="OBU35" s="39"/>
      <c r="OBV35" s="39"/>
      <c r="OBW35" s="39"/>
      <c r="OBX35" s="39"/>
      <c r="OBY35" s="39"/>
      <c r="OBZ35" s="39"/>
      <c r="OCA35" s="39"/>
      <c r="OCB35" s="39"/>
      <c r="OCC35" s="39"/>
      <c r="OCD35" s="39"/>
      <c r="OCE35" s="39"/>
      <c r="OCF35" s="39"/>
      <c r="OCG35" s="39"/>
      <c r="OCH35" s="39"/>
      <c r="OCI35" s="39"/>
      <c r="OCJ35" s="39"/>
      <c r="OCK35" s="39"/>
      <c r="OCL35" s="39"/>
      <c r="OCM35" s="39"/>
      <c r="OCN35" s="39"/>
      <c r="OCO35" s="39"/>
      <c r="OCP35" s="39"/>
      <c r="OCQ35" s="39"/>
      <c r="OCR35" s="39"/>
      <c r="OCS35" s="39"/>
      <c r="OCT35" s="39"/>
      <c r="OCU35" s="39"/>
      <c r="OCV35" s="39"/>
      <c r="OCW35" s="39"/>
      <c r="OCX35" s="39"/>
      <c r="OCY35" s="39"/>
      <c r="OCZ35" s="39"/>
      <c r="ODA35" s="39"/>
      <c r="ODB35" s="39"/>
      <c r="ODC35" s="39"/>
      <c r="ODD35" s="39"/>
      <c r="ODE35" s="39"/>
      <c r="ODF35" s="39"/>
      <c r="ODG35" s="39"/>
      <c r="ODH35" s="39"/>
      <c r="ODI35" s="39"/>
      <c r="ODJ35" s="39"/>
      <c r="ODK35" s="39"/>
      <c r="ODL35" s="39"/>
      <c r="ODM35" s="39"/>
      <c r="ODN35" s="39"/>
      <c r="ODO35" s="39"/>
      <c r="ODP35" s="39"/>
      <c r="ODQ35" s="39"/>
      <c r="ODR35" s="39"/>
      <c r="ODS35" s="39"/>
      <c r="ODT35" s="39"/>
      <c r="ODU35" s="39"/>
      <c r="ODV35" s="39"/>
      <c r="ODW35" s="39"/>
      <c r="ODX35" s="39"/>
      <c r="ODY35" s="39"/>
      <c r="ODZ35" s="39"/>
      <c r="OEA35" s="39"/>
      <c r="OEB35" s="39"/>
      <c r="OEC35" s="39"/>
      <c r="OED35" s="39"/>
      <c r="OEE35" s="39"/>
      <c r="OEF35" s="39"/>
      <c r="OEG35" s="39"/>
      <c r="OEH35" s="39"/>
      <c r="OEI35" s="39"/>
      <c r="OEJ35" s="39"/>
      <c r="OEK35" s="39"/>
      <c r="OEL35" s="39"/>
      <c r="OEM35" s="39"/>
      <c r="OEN35" s="39"/>
      <c r="OEO35" s="39"/>
      <c r="OEP35" s="39"/>
      <c r="OEQ35" s="39"/>
      <c r="OER35" s="39"/>
      <c r="OES35" s="39"/>
      <c r="OET35" s="39"/>
      <c r="OEU35" s="39"/>
      <c r="OEV35" s="39"/>
      <c r="OEW35" s="39"/>
      <c r="OEX35" s="39"/>
      <c r="OEY35" s="39"/>
      <c r="OEZ35" s="39"/>
      <c r="OFA35" s="39"/>
      <c r="OFB35" s="39"/>
      <c r="OFC35" s="39"/>
      <c r="OFD35" s="39"/>
      <c r="OFE35" s="39"/>
      <c r="OFF35" s="39"/>
      <c r="OFG35" s="39"/>
      <c r="OFH35" s="39"/>
      <c r="OFI35" s="39"/>
      <c r="OFJ35" s="39"/>
      <c r="OFK35" s="39"/>
      <c r="OFL35" s="39"/>
      <c r="OFM35" s="39"/>
      <c r="OFN35" s="39"/>
      <c r="OFO35" s="39"/>
      <c r="OFP35" s="39"/>
      <c r="OFQ35" s="39"/>
      <c r="OFR35" s="39"/>
      <c r="OFS35" s="39"/>
      <c r="OFT35" s="39"/>
      <c r="OFU35" s="39"/>
      <c r="OFV35" s="39"/>
      <c r="OFW35" s="39"/>
      <c r="OFX35" s="39"/>
      <c r="OFY35" s="39"/>
      <c r="OFZ35" s="39"/>
      <c r="OGA35" s="39"/>
      <c r="OGB35" s="39"/>
      <c r="OGC35" s="39"/>
      <c r="OGD35" s="39"/>
      <c r="OGE35" s="39"/>
      <c r="OGF35" s="39"/>
      <c r="OGG35" s="39"/>
      <c r="OGH35" s="39"/>
      <c r="OGI35" s="39"/>
      <c r="OGJ35" s="39"/>
      <c r="OGK35" s="39"/>
      <c r="OGL35" s="39"/>
      <c r="OGM35" s="39"/>
      <c r="OGN35" s="39"/>
      <c r="OGO35" s="39"/>
      <c r="OGP35" s="39"/>
      <c r="OGQ35" s="39"/>
      <c r="OGR35" s="39"/>
      <c r="OGS35" s="39"/>
      <c r="OGT35" s="39"/>
      <c r="OGU35" s="39"/>
      <c r="OGV35" s="39"/>
      <c r="OGW35" s="39"/>
      <c r="OGX35" s="39"/>
      <c r="OGY35" s="39"/>
      <c r="OGZ35" s="39"/>
      <c r="OHA35" s="39"/>
      <c r="OHB35" s="39"/>
      <c r="OHC35" s="39"/>
      <c r="OHD35" s="39"/>
      <c r="OHE35" s="39"/>
      <c r="OHF35" s="39"/>
      <c r="OHG35" s="39"/>
      <c r="OHH35" s="39"/>
      <c r="OHI35" s="39"/>
      <c r="OHJ35" s="39"/>
      <c r="OHK35" s="39"/>
      <c r="OHL35" s="39"/>
      <c r="OHM35" s="39"/>
      <c r="OHN35" s="39"/>
      <c r="OHO35" s="39"/>
      <c r="OHP35" s="39"/>
      <c r="OHQ35" s="39"/>
      <c r="OHR35" s="39"/>
      <c r="OHS35" s="39"/>
      <c r="OHT35" s="39"/>
      <c r="OHU35" s="39"/>
      <c r="OHV35" s="39"/>
      <c r="OHW35" s="39"/>
      <c r="OHX35" s="39"/>
      <c r="OHY35" s="39"/>
      <c r="OHZ35" s="39"/>
      <c r="OIA35" s="39"/>
      <c r="OIB35" s="39"/>
      <c r="OIC35" s="39"/>
      <c r="OID35" s="39"/>
      <c r="OIE35" s="39"/>
      <c r="OIF35" s="39"/>
      <c r="OIG35" s="39"/>
      <c r="OIH35" s="39"/>
      <c r="OII35" s="39"/>
      <c r="OIJ35" s="39"/>
      <c r="OIK35" s="39"/>
      <c r="OIL35" s="39"/>
      <c r="OIM35" s="39"/>
      <c r="OIN35" s="39"/>
      <c r="OIO35" s="39"/>
      <c r="OIP35" s="39"/>
      <c r="OIQ35" s="39"/>
      <c r="OIR35" s="39"/>
      <c r="OIS35" s="39"/>
      <c r="OIT35" s="39"/>
      <c r="OIU35" s="39"/>
      <c r="OIV35" s="39"/>
      <c r="OIW35" s="39"/>
      <c r="OIX35" s="39"/>
      <c r="OIY35" s="39"/>
      <c r="OIZ35" s="39"/>
      <c r="OJA35" s="39"/>
      <c r="OJB35" s="39"/>
      <c r="OJC35" s="39"/>
      <c r="OJD35" s="39"/>
      <c r="OJE35" s="39"/>
      <c r="OJF35" s="39"/>
      <c r="OJG35" s="39"/>
      <c r="OJH35" s="39"/>
      <c r="OJI35" s="39"/>
      <c r="OJJ35" s="39"/>
      <c r="OJK35" s="39"/>
      <c r="OJL35" s="39"/>
      <c r="OJM35" s="39"/>
      <c r="OJN35" s="39"/>
      <c r="OJO35" s="39"/>
      <c r="OJP35" s="39"/>
      <c r="OJQ35" s="39"/>
      <c r="OJR35" s="39"/>
      <c r="OJS35" s="39"/>
      <c r="OJT35" s="39"/>
      <c r="OJU35" s="39"/>
      <c r="OJV35" s="39"/>
      <c r="OJW35" s="39"/>
      <c r="OJX35" s="39"/>
      <c r="OJY35" s="39"/>
      <c r="OJZ35" s="39"/>
      <c r="OKA35" s="39"/>
      <c r="OKB35" s="39"/>
      <c r="OKC35" s="39"/>
      <c r="OKD35" s="39"/>
      <c r="OKE35" s="39"/>
      <c r="OKF35" s="39"/>
      <c r="OKG35" s="39"/>
      <c r="OKH35" s="39"/>
      <c r="OKI35" s="39"/>
      <c r="OKJ35" s="39"/>
      <c r="OKK35" s="39"/>
      <c r="OKL35" s="39"/>
      <c r="OKM35" s="39"/>
      <c r="OKN35" s="39"/>
      <c r="OKO35" s="39"/>
      <c r="OKP35" s="39"/>
      <c r="OKQ35" s="39"/>
      <c r="OKR35" s="39"/>
      <c r="OKS35" s="39"/>
      <c r="OKT35" s="39"/>
      <c r="OKU35" s="39"/>
      <c r="OKV35" s="39"/>
      <c r="OKW35" s="39"/>
      <c r="OKX35" s="39"/>
      <c r="OKY35" s="39"/>
      <c r="OKZ35" s="39"/>
      <c r="OLA35" s="39"/>
      <c r="OLB35" s="39"/>
      <c r="OLC35" s="39"/>
      <c r="OLD35" s="39"/>
      <c r="OLE35" s="39"/>
      <c r="OLF35" s="39"/>
      <c r="OLG35" s="39"/>
      <c r="OLH35" s="39"/>
      <c r="OLI35" s="39"/>
      <c r="OLJ35" s="39"/>
      <c r="OLK35" s="39"/>
      <c r="OLL35" s="39"/>
      <c r="OLM35" s="39"/>
      <c r="OLN35" s="39"/>
      <c r="OLO35" s="39"/>
      <c r="OLP35" s="39"/>
      <c r="OLQ35" s="39"/>
      <c r="OLR35" s="39"/>
      <c r="OLS35" s="39"/>
      <c r="OLT35" s="39"/>
      <c r="OLU35" s="39"/>
      <c r="OLV35" s="39"/>
      <c r="OLW35" s="39"/>
      <c r="OLX35" s="39"/>
      <c r="OLY35" s="39"/>
      <c r="OLZ35" s="39"/>
      <c r="OMA35" s="39"/>
      <c r="OMB35" s="39"/>
      <c r="OMC35" s="39"/>
      <c r="OMD35" s="39"/>
      <c r="OME35" s="39"/>
      <c r="OMF35" s="39"/>
      <c r="OMG35" s="39"/>
      <c r="OMH35" s="39"/>
      <c r="OMI35" s="39"/>
      <c r="OMJ35" s="39"/>
      <c r="OMK35" s="39"/>
      <c r="OML35" s="39"/>
      <c r="OMM35" s="39"/>
      <c r="OMN35" s="39"/>
      <c r="OMO35" s="39"/>
      <c r="OMP35" s="39"/>
      <c r="OMQ35" s="39"/>
      <c r="OMR35" s="39"/>
      <c r="OMS35" s="39"/>
      <c r="OMT35" s="39"/>
      <c r="OMU35" s="39"/>
      <c r="OMV35" s="39"/>
      <c r="OMW35" s="39"/>
      <c r="OMX35" s="39"/>
      <c r="OMY35" s="39"/>
      <c r="OMZ35" s="39"/>
      <c r="ONA35" s="39"/>
      <c r="ONB35" s="39"/>
      <c r="ONC35" s="39"/>
      <c r="OND35" s="39"/>
      <c r="ONE35" s="39"/>
      <c r="ONF35" s="39"/>
      <c r="ONG35" s="39"/>
      <c r="ONH35" s="39"/>
      <c r="ONI35" s="39"/>
      <c r="ONJ35" s="39"/>
      <c r="ONK35" s="39"/>
      <c r="ONL35" s="39"/>
      <c r="ONM35" s="39"/>
      <c r="ONN35" s="39"/>
      <c r="ONO35" s="39"/>
      <c r="ONP35" s="39"/>
      <c r="ONQ35" s="39"/>
      <c r="ONR35" s="39"/>
      <c r="ONS35" s="39"/>
      <c r="ONT35" s="39"/>
      <c r="ONU35" s="39"/>
      <c r="ONV35" s="39"/>
      <c r="ONW35" s="39"/>
      <c r="ONX35" s="39"/>
      <c r="ONY35" s="39"/>
      <c r="ONZ35" s="39"/>
      <c r="OOA35" s="39"/>
      <c r="OOB35" s="39"/>
      <c r="OOC35" s="39"/>
      <c r="OOD35" s="39"/>
      <c r="OOE35" s="39"/>
      <c r="OOF35" s="39"/>
      <c r="OOG35" s="39"/>
      <c r="OOH35" s="39"/>
      <c r="OOI35" s="39"/>
      <c r="OOJ35" s="39"/>
      <c r="OOK35" s="39"/>
      <c r="OOL35" s="39"/>
      <c r="OOM35" s="39"/>
      <c r="OON35" s="39"/>
      <c r="OOO35" s="39"/>
      <c r="OOP35" s="39"/>
      <c r="OOQ35" s="39"/>
      <c r="OOR35" s="39"/>
      <c r="OOS35" s="39"/>
      <c r="OOT35" s="39"/>
      <c r="OOU35" s="39"/>
      <c r="OOV35" s="39"/>
      <c r="OOW35" s="39"/>
      <c r="OOX35" s="39"/>
      <c r="OOY35" s="39"/>
      <c r="OOZ35" s="39"/>
      <c r="OPA35" s="39"/>
      <c r="OPB35" s="39"/>
      <c r="OPC35" s="39"/>
      <c r="OPD35" s="39"/>
      <c r="OPE35" s="39"/>
      <c r="OPF35" s="39"/>
      <c r="OPG35" s="39"/>
      <c r="OPH35" s="39"/>
      <c r="OPI35" s="39"/>
      <c r="OPJ35" s="39"/>
      <c r="OPK35" s="39"/>
      <c r="OPL35" s="39"/>
      <c r="OPM35" s="39"/>
      <c r="OPN35" s="39"/>
      <c r="OPO35" s="39"/>
      <c r="OPP35" s="39"/>
      <c r="OPQ35" s="39"/>
      <c r="OPR35" s="39"/>
      <c r="OPS35" s="39"/>
      <c r="OPT35" s="39"/>
      <c r="OPU35" s="39"/>
      <c r="OPV35" s="39"/>
      <c r="OPW35" s="39"/>
      <c r="OPX35" s="39"/>
      <c r="OPY35" s="39"/>
      <c r="OPZ35" s="39"/>
      <c r="OQA35" s="39"/>
      <c r="OQB35" s="39"/>
      <c r="OQC35" s="39"/>
      <c r="OQD35" s="39"/>
      <c r="OQE35" s="39"/>
      <c r="OQF35" s="39"/>
      <c r="OQG35" s="39"/>
      <c r="OQH35" s="39"/>
      <c r="OQI35" s="39"/>
      <c r="OQJ35" s="39"/>
      <c r="OQK35" s="39"/>
      <c r="OQL35" s="39"/>
      <c r="OQM35" s="39"/>
      <c r="OQN35" s="39"/>
      <c r="OQO35" s="39"/>
      <c r="OQP35" s="39"/>
      <c r="OQQ35" s="39"/>
      <c r="OQR35" s="39"/>
      <c r="OQS35" s="39"/>
      <c r="OQT35" s="39"/>
      <c r="OQU35" s="39"/>
      <c r="OQV35" s="39"/>
      <c r="OQW35" s="39"/>
      <c r="OQX35" s="39"/>
      <c r="OQY35" s="39"/>
      <c r="OQZ35" s="39"/>
      <c r="ORA35" s="39"/>
      <c r="ORB35" s="39"/>
      <c r="ORC35" s="39"/>
      <c r="ORD35" s="39"/>
      <c r="ORE35" s="39"/>
      <c r="ORF35" s="39"/>
      <c r="ORG35" s="39"/>
      <c r="ORH35" s="39"/>
      <c r="ORI35" s="39"/>
      <c r="ORJ35" s="39"/>
      <c r="ORK35" s="39"/>
      <c r="ORL35" s="39"/>
      <c r="ORM35" s="39"/>
      <c r="ORN35" s="39"/>
      <c r="ORO35" s="39"/>
      <c r="ORP35" s="39"/>
      <c r="ORQ35" s="39"/>
      <c r="ORR35" s="39"/>
      <c r="ORS35" s="39"/>
      <c r="ORT35" s="39"/>
      <c r="ORU35" s="39"/>
      <c r="ORV35" s="39"/>
      <c r="ORW35" s="39"/>
      <c r="ORX35" s="39"/>
      <c r="ORY35" s="39"/>
      <c r="ORZ35" s="39"/>
      <c r="OSA35" s="39"/>
      <c r="OSB35" s="39"/>
      <c r="OSC35" s="39"/>
      <c r="OSD35" s="39"/>
      <c r="OSE35" s="39"/>
      <c r="OSF35" s="39"/>
      <c r="OSG35" s="39"/>
      <c r="OSH35" s="39"/>
      <c r="OSI35" s="39"/>
      <c r="OSJ35" s="39"/>
      <c r="OSK35" s="39"/>
      <c r="OSL35" s="39"/>
      <c r="OSM35" s="39"/>
      <c r="OSN35" s="39"/>
      <c r="OSO35" s="39"/>
      <c r="OSP35" s="39"/>
      <c r="OSQ35" s="39"/>
      <c r="OSR35" s="39"/>
      <c r="OSS35" s="39"/>
      <c r="OST35" s="39"/>
      <c r="OSU35" s="39"/>
      <c r="OSV35" s="39"/>
      <c r="OSW35" s="39"/>
      <c r="OSX35" s="39"/>
      <c r="OSY35" s="39"/>
      <c r="OSZ35" s="39"/>
      <c r="OTA35" s="39"/>
      <c r="OTB35" s="39"/>
      <c r="OTC35" s="39"/>
      <c r="OTD35" s="39"/>
      <c r="OTE35" s="39"/>
      <c r="OTF35" s="39"/>
      <c r="OTG35" s="39"/>
      <c r="OTH35" s="39"/>
      <c r="OTI35" s="39"/>
      <c r="OTJ35" s="39"/>
      <c r="OTK35" s="39"/>
      <c r="OTL35" s="39"/>
      <c r="OTM35" s="39"/>
      <c r="OTN35" s="39"/>
      <c r="OTO35" s="39"/>
      <c r="OTP35" s="39"/>
      <c r="OTQ35" s="39"/>
      <c r="OTR35" s="39"/>
      <c r="OTS35" s="39"/>
      <c r="OTT35" s="39"/>
      <c r="OTU35" s="39"/>
      <c r="OTV35" s="39"/>
      <c r="OTW35" s="39"/>
      <c r="OTX35" s="39"/>
      <c r="OTY35" s="39"/>
      <c r="OTZ35" s="39"/>
      <c r="OUA35" s="39"/>
      <c r="OUB35" s="39"/>
      <c r="OUC35" s="39"/>
      <c r="OUD35" s="39"/>
      <c r="OUE35" s="39"/>
      <c r="OUF35" s="39"/>
      <c r="OUG35" s="39"/>
      <c r="OUH35" s="39"/>
      <c r="OUI35" s="39"/>
      <c r="OUJ35" s="39"/>
      <c r="OUK35" s="39"/>
      <c r="OUL35" s="39"/>
      <c r="OUM35" s="39"/>
      <c r="OUN35" s="39"/>
      <c r="OUO35" s="39"/>
      <c r="OUP35" s="39"/>
      <c r="OUQ35" s="39"/>
      <c r="OUR35" s="39"/>
      <c r="OUS35" s="39"/>
      <c r="OUT35" s="39"/>
      <c r="OUU35" s="39"/>
      <c r="OUV35" s="39"/>
      <c r="OUW35" s="39"/>
      <c r="OUX35" s="39"/>
      <c r="OUY35" s="39"/>
      <c r="OUZ35" s="39"/>
      <c r="OVA35" s="39"/>
      <c r="OVB35" s="39"/>
      <c r="OVC35" s="39"/>
      <c r="OVD35" s="39"/>
      <c r="OVE35" s="39"/>
      <c r="OVF35" s="39"/>
      <c r="OVG35" s="39"/>
      <c r="OVH35" s="39"/>
      <c r="OVI35" s="39"/>
      <c r="OVJ35" s="39"/>
      <c r="OVK35" s="39"/>
      <c r="OVL35" s="39"/>
      <c r="OVM35" s="39"/>
      <c r="OVN35" s="39"/>
      <c r="OVO35" s="39"/>
      <c r="OVP35" s="39"/>
      <c r="OVQ35" s="39"/>
      <c r="OVR35" s="39"/>
      <c r="OVS35" s="39"/>
      <c r="OVT35" s="39"/>
      <c r="OVU35" s="39"/>
      <c r="OVV35" s="39"/>
      <c r="OVW35" s="39"/>
      <c r="OVX35" s="39"/>
      <c r="OVY35" s="39"/>
      <c r="OVZ35" s="39"/>
      <c r="OWA35" s="39"/>
      <c r="OWB35" s="39"/>
      <c r="OWC35" s="39"/>
      <c r="OWD35" s="39"/>
      <c r="OWE35" s="39"/>
      <c r="OWF35" s="39"/>
      <c r="OWG35" s="39"/>
      <c r="OWH35" s="39"/>
      <c r="OWI35" s="39"/>
      <c r="OWJ35" s="39"/>
      <c r="OWK35" s="39"/>
      <c r="OWL35" s="39"/>
      <c r="OWM35" s="39"/>
      <c r="OWN35" s="39"/>
      <c r="OWO35" s="39"/>
      <c r="OWP35" s="39"/>
      <c r="OWQ35" s="39"/>
      <c r="OWR35" s="39"/>
      <c r="OWS35" s="39"/>
      <c r="OWT35" s="39"/>
      <c r="OWU35" s="39"/>
      <c r="OWV35" s="39"/>
      <c r="OWW35" s="39"/>
      <c r="OWX35" s="39"/>
      <c r="OWY35" s="39"/>
      <c r="OWZ35" s="39"/>
      <c r="OXA35" s="39"/>
      <c r="OXB35" s="39"/>
      <c r="OXC35" s="39"/>
      <c r="OXD35" s="39"/>
      <c r="OXE35" s="39"/>
      <c r="OXF35" s="39"/>
      <c r="OXG35" s="39"/>
      <c r="OXH35" s="39"/>
      <c r="OXI35" s="39"/>
      <c r="OXJ35" s="39"/>
      <c r="OXK35" s="39"/>
      <c r="OXL35" s="39"/>
      <c r="OXM35" s="39"/>
      <c r="OXN35" s="39"/>
      <c r="OXO35" s="39"/>
      <c r="OXP35" s="39"/>
      <c r="OXQ35" s="39"/>
      <c r="OXR35" s="39"/>
      <c r="OXS35" s="39"/>
      <c r="OXT35" s="39"/>
      <c r="OXU35" s="39"/>
      <c r="OXV35" s="39"/>
      <c r="OXW35" s="39"/>
      <c r="OXX35" s="39"/>
      <c r="OXY35" s="39"/>
      <c r="OXZ35" s="39"/>
      <c r="OYA35" s="39"/>
      <c r="OYB35" s="39"/>
      <c r="OYC35" s="39"/>
      <c r="OYD35" s="39"/>
      <c r="OYE35" s="39"/>
      <c r="OYF35" s="39"/>
      <c r="OYG35" s="39"/>
      <c r="OYH35" s="39"/>
      <c r="OYI35" s="39"/>
      <c r="OYJ35" s="39"/>
      <c r="OYK35" s="39"/>
      <c r="OYL35" s="39"/>
      <c r="OYM35" s="39"/>
      <c r="OYN35" s="39"/>
      <c r="OYO35" s="39"/>
      <c r="OYP35" s="39"/>
      <c r="OYQ35" s="39"/>
      <c r="OYR35" s="39"/>
      <c r="OYS35" s="39"/>
      <c r="OYT35" s="39"/>
      <c r="OYU35" s="39"/>
      <c r="OYV35" s="39"/>
      <c r="OYW35" s="39"/>
      <c r="OYX35" s="39"/>
      <c r="OYY35" s="39"/>
      <c r="OYZ35" s="39"/>
      <c r="OZA35" s="39"/>
      <c r="OZB35" s="39"/>
      <c r="OZC35" s="39"/>
      <c r="OZD35" s="39"/>
      <c r="OZE35" s="39"/>
      <c r="OZF35" s="39"/>
      <c r="OZG35" s="39"/>
      <c r="OZH35" s="39"/>
      <c r="OZI35" s="39"/>
      <c r="OZJ35" s="39"/>
      <c r="OZK35" s="39"/>
      <c r="OZL35" s="39"/>
      <c r="OZM35" s="39"/>
      <c r="OZN35" s="39"/>
      <c r="OZO35" s="39"/>
      <c r="OZP35" s="39"/>
      <c r="OZQ35" s="39"/>
      <c r="OZR35" s="39"/>
      <c r="OZS35" s="39"/>
      <c r="OZT35" s="39"/>
      <c r="OZU35" s="39"/>
      <c r="OZV35" s="39"/>
      <c r="OZW35" s="39"/>
      <c r="OZX35" s="39"/>
      <c r="OZY35" s="39"/>
      <c r="OZZ35" s="39"/>
      <c r="PAA35" s="39"/>
      <c r="PAB35" s="39"/>
      <c r="PAC35" s="39"/>
      <c r="PAD35" s="39"/>
      <c r="PAE35" s="39"/>
      <c r="PAF35" s="39"/>
      <c r="PAG35" s="39"/>
      <c r="PAH35" s="39"/>
      <c r="PAI35" s="39"/>
      <c r="PAJ35" s="39"/>
      <c r="PAK35" s="39"/>
      <c r="PAL35" s="39"/>
      <c r="PAM35" s="39"/>
      <c r="PAN35" s="39"/>
      <c r="PAO35" s="39"/>
      <c r="PAP35" s="39"/>
      <c r="PAQ35" s="39"/>
      <c r="PAR35" s="39"/>
      <c r="PAS35" s="39"/>
      <c r="PAT35" s="39"/>
      <c r="PAU35" s="39"/>
      <c r="PAV35" s="39"/>
      <c r="PAW35" s="39"/>
      <c r="PAX35" s="39"/>
      <c r="PAY35" s="39"/>
      <c r="PAZ35" s="39"/>
      <c r="PBA35" s="39"/>
      <c r="PBB35" s="39"/>
      <c r="PBC35" s="39"/>
      <c r="PBD35" s="39"/>
      <c r="PBE35" s="39"/>
      <c r="PBF35" s="39"/>
      <c r="PBG35" s="39"/>
      <c r="PBH35" s="39"/>
      <c r="PBI35" s="39"/>
      <c r="PBJ35" s="39"/>
      <c r="PBK35" s="39"/>
      <c r="PBL35" s="39"/>
      <c r="PBM35" s="39"/>
      <c r="PBN35" s="39"/>
      <c r="PBO35" s="39"/>
      <c r="PBP35" s="39"/>
      <c r="PBQ35" s="39"/>
      <c r="PBR35" s="39"/>
      <c r="PBS35" s="39"/>
      <c r="PBT35" s="39"/>
      <c r="PBU35" s="39"/>
      <c r="PBV35" s="39"/>
      <c r="PBW35" s="39"/>
      <c r="PBX35" s="39"/>
      <c r="PBY35" s="39"/>
      <c r="PBZ35" s="39"/>
      <c r="PCA35" s="39"/>
      <c r="PCB35" s="39"/>
      <c r="PCC35" s="39"/>
      <c r="PCD35" s="39"/>
      <c r="PCE35" s="39"/>
      <c r="PCF35" s="39"/>
      <c r="PCG35" s="39"/>
      <c r="PCH35" s="39"/>
      <c r="PCI35" s="39"/>
      <c r="PCJ35" s="39"/>
      <c r="PCK35" s="39"/>
      <c r="PCL35" s="39"/>
      <c r="PCM35" s="39"/>
      <c r="PCN35" s="39"/>
      <c r="PCO35" s="39"/>
      <c r="PCP35" s="39"/>
      <c r="PCQ35" s="39"/>
      <c r="PCR35" s="39"/>
      <c r="PCS35" s="39"/>
      <c r="PCT35" s="39"/>
      <c r="PCU35" s="39"/>
      <c r="PCV35" s="39"/>
      <c r="PCW35" s="39"/>
      <c r="PCX35" s="39"/>
      <c r="PCY35" s="39"/>
      <c r="PCZ35" s="39"/>
      <c r="PDA35" s="39"/>
      <c r="PDB35" s="39"/>
      <c r="PDC35" s="39"/>
      <c r="PDD35" s="39"/>
      <c r="PDE35" s="39"/>
      <c r="PDF35" s="39"/>
      <c r="PDG35" s="39"/>
      <c r="PDH35" s="39"/>
      <c r="PDI35" s="39"/>
      <c r="PDJ35" s="39"/>
      <c r="PDK35" s="39"/>
      <c r="PDL35" s="39"/>
      <c r="PDM35" s="39"/>
      <c r="PDN35" s="39"/>
      <c r="PDO35" s="39"/>
      <c r="PDP35" s="39"/>
      <c r="PDQ35" s="39"/>
      <c r="PDR35" s="39"/>
      <c r="PDS35" s="39"/>
      <c r="PDT35" s="39"/>
      <c r="PDU35" s="39"/>
      <c r="PDV35" s="39"/>
      <c r="PDW35" s="39"/>
      <c r="PDX35" s="39"/>
      <c r="PDY35" s="39"/>
      <c r="PDZ35" s="39"/>
      <c r="PEA35" s="39"/>
      <c r="PEB35" s="39"/>
      <c r="PEC35" s="39"/>
      <c r="PED35" s="39"/>
      <c r="PEE35" s="39"/>
      <c r="PEF35" s="39"/>
      <c r="PEG35" s="39"/>
      <c r="PEH35" s="39"/>
      <c r="PEI35" s="39"/>
      <c r="PEJ35" s="39"/>
      <c r="PEK35" s="39"/>
      <c r="PEL35" s="39"/>
      <c r="PEM35" s="39"/>
      <c r="PEN35" s="39"/>
      <c r="PEO35" s="39"/>
      <c r="PEP35" s="39"/>
      <c r="PEQ35" s="39"/>
      <c r="PER35" s="39"/>
      <c r="PES35" s="39"/>
      <c r="PET35" s="39"/>
      <c r="PEU35" s="39"/>
      <c r="PEV35" s="39"/>
      <c r="PEW35" s="39"/>
      <c r="PEX35" s="39"/>
      <c r="PEY35" s="39"/>
      <c r="PEZ35" s="39"/>
      <c r="PFA35" s="39"/>
      <c r="PFB35" s="39"/>
      <c r="PFC35" s="39"/>
      <c r="PFD35" s="39"/>
      <c r="PFE35" s="39"/>
      <c r="PFF35" s="39"/>
      <c r="PFG35" s="39"/>
      <c r="PFH35" s="39"/>
      <c r="PFI35" s="39"/>
      <c r="PFJ35" s="39"/>
      <c r="PFK35" s="39"/>
      <c r="PFL35" s="39"/>
      <c r="PFM35" s="39"/>
      <c r="PFN35" s="39"/>
      <c r="PFO35" s="39"/>
      <c r="PFP35" s="39"/>
      <c r="PFQ35" s="39"/>
      <c r="PFR35" s="39"/>
      <c r="PFS35" s="39"/>
      <c r="PFT35" s="39"/>
      <c r="PFU35" s="39"/>
      <c r="PFV35" s="39"/>
      <c r="PFW35" s="39"/>
      <c r="PFX35" s="39"/>
      <c r="PFY35" s="39"/>
      <c r="PFZ35" s="39"/>
      <c r="PGA35" s="39"/>
      <c r="PGB35" s="39"/>
      <c r="PGC35" s="39"/>
      <c r="PGD35" s="39"/>
      <c r="PGE35" s="39"/>
      <c r="PGF35" s="39"/>
      <c r="PGG35" s="39"/>
      <c r="PGH35" s="39"/>
      <c r="PGI35" s="39"/>
      <c r="PGJ35" s="39"/>
      <c r="PGK35" s="39"/>
      <c r="PGL35" s="39"/>
      <c r="PGM35" s="39"/>
      <c r="PGN35" s="39"/>
      <c r="PGO35" s="39"/>
      <c r="PGP35" s="39"/>
      <c r="PGQ35" s="39"/>
      <c r="PGR35" s="39"/>
      <c r="PGS35" s="39"/>
      <c r="PGT35" s="39"/>
      <c r="PGU35" s="39"/>
      <c r="PGV35" s="39"/>
      <c r="PGW35" s="39"/>
      <c r="PGX35" s="39"/>
      <c r="PGY35" s="39"/>
      <c r="PGZ35" s="39"/>
      <c r="PHA35" s="39"/>
      <c r="PHB35" s="39"/>
      <c r="PHC35" s="39"/>
      <c r="PHD35" s="39"/>
      <c r="PHE35" s="39"/>
      <c r="PHF35" s="39"/>
      <c r="PHG35" s="39"/>
      <c r="PHH35" s="39"/>
      <c r="PHI35" s="39"/>
      <c r="PHJ35" s="39"/>
      <c r="PHK35" s="39"/>
      <c r="PHL35" s="39"/>
      <c r="PHM35" s="39"/>
      <c r="PHN35" s="39"/>
      <c r="PHO35" s="39"/>
      <c r="PHP35" s="39"/>
      <c r="PHQ35" s="39"/>
      <c r="PHR35" s="39"/>
      <c r="PHS35" s="39"/>
      <c r="PHT35" s="39"/>
      <c r="PHU35" s="39"/>
      <c r="PHV35" s="39"/>
      <c r="PHW35" s="39"/>
      <c r="PHX35" s="39"/>
      <c r="PHY35" s="39"/>
      <c r="PHZ35" s="39"/>
      <c r="PIA35" s="39"/>
      <c r="PIB35" s="39"/>
      <c r="PIC35" s="39"/>
      <c r="PID35" s="39"/>
      <c r="PIE35" s="39"/>
      <c r="PIF35" s="39"/>
      <c r="PIG35" s="39"/>
      <c r="PIH35" s="39"/>
      <c r="PII35" s="39"/>
      <c r="PIJ35" s="39"/>
      <c r="PIK35" s="39"/>
      <c r="PIL35" s="39"/>
      <c r="PIM35" s="39"/>
      <c r="PIN35" s="39"/>
      <c r="PIO35" s="39"/>
      <c r="PIP35" s="39"/>
      <c r="PIQ35" s="39"/>
      <c r="PIR35" s="39"/>
      <c r="PIS35" s="39"/>
      <c r="PIT35" s="39"/>
      <c r="PIU35" s="39"/>
      <c r="PIV35" s="39"/>
      <c r="PIW35" s="39"/>
      <c r="PIX35" s="39"/>
      <c r="PIY35" s="39"/>
      <c r="PIZ35" s="39"/>
      <c r="PJA35" s="39"/>
      <c r="PJB35" s="39"/>
      <c r="PJC35" s="39"/>
      <c r="PJD35" s="39"/>
      <c r="PJE35" s="39"/>
      <c r="PJF35" s="39"/>
      <c r="PJG35" s="39"/>
      <c r="PJH35" s="39"/>
      <c r="PJI35" s="39"/>
      <c r="PJJ35" s="39"/>
      <c r="PJK35" s="39"/>
      <c r="PJL35" s="39"/>
      <c r="PJM35" s="39"/>
      <c r="PJN35" s="39"/>
      <c r="PJO35" s="39"/>
      <c r="PJP35" s="39"/>
      <c r="PJQ35" s="39"/>
      <c r="PJR35" s="39"/>
      <c r="PJS35" s="39"/>
      <c r="PJT35" s="39"/>
      <c r="PJU35" s="39"/>
      <c r="PJV35" s="39"/>
      <c r="PJW35" s="39"/>
      <c r="PJX35" s="39"/>
      <c r="PJY35" s="39"/>
      <c r="PJZ35" s="39"/>
      <c r="PKA35" s="39"/>
      <c r="PKB35" s="39"/>
      <c r="PKC35" s="39"/>
      <c r="PKD35" s="39"/>
      <c r="PKE35" s="39"/>
      <c r="PKF35" s="39"/>
      <c r="PKG35" s="39"/>
      <c r="PKH35" s="39"/>
      <c r="PKI35" s="39"/>
      <c r="PKJ35" s="39"/>
      <c r="PKK35" s="39"/>
      <c r="PKL35" s="39"/>
      <c r="PKM35" s="39"/>
      <c r="PKN35" s="39"/>
      <c r="PKO35" s="39"/>
      <c r="PKP35" s="39"/>
      <c r="PKQ35" s="39"/>
      <c r="PKR35" s="39"/>
      <c r="PKS35" s="39"/>
      <c r="PKT35" s="39"/>
      <c r="PKU35" s="39"/>
      <c r="PKV35" s="39"/>
      <c r="PKW35" s="39"/>
      <c r="PKX35" s="39"/>
      <c r="PKY35" s="39"/>
      <c r="PKZ35" s="39"/>
      <c r="PLA35" s="39"/>
      <c r="PLB35" s="39"/>
      <c r="PLC35" s="39"/>
      <c r="PLD35" s="39"/>
      <c r="PLE35" s="39"/>
      <c r="PLF35" s="39"/>
      <c r="PLG35" s="39"/>
      <c r="PLH35" s="39"/>
      <c r="PLI35" s="39"/>
      <c r="PLJ35" s="39"/>
      <c r="PLK35" s="39"/>
      <c r="PLL35" s="39"/>
      <c r="PLM35" s="39"/>
      <c r="PLN35" s="39"/>
      <c r="PLO35" s="39"/>
      <c r="PLP35" s="39"/>
      <c r="PLQ35" s="39"/>
      <c r="PLR35" s="39"/>
      <c r="PLS35" s="39"/>
      <c r="PLT35" s="39"/>
      <c r="PLU35" s="39"/>
      <c r="PLV35" s="39"/>
      <c r="PLW35" s="39"/>
      <c r="PLX35" s="39"/>
      <c r="PLY35" s="39"/>
      <c r="PLZ35" s="39"/>
      <c r="PMA35" s="39"/>
      <c r="PMB35" s="39"/>
      <c r="PMC35" s="39"/>
      <c r="PMD35" s="39"/>
      <c r="PME35" s="39"/>
      <c r="PMF35" s="39"/>
      <c r="PMG35" s="39"/>
      <c r="PMH35" s="39"/>
      <c r="PMI35" s="39"/>
      <c r="PMJ35" s="39"/>
      <c r="PMK35" s="39"/>
      <c r="PML35" s="39"/>
      <c r="PMM35" s="39"/>
      <c r="PMN35" s="39"/>
      <c r="PMO35" s="39"/>
      <c r="PMP35" s="39"/>
      <c r="PMQ35" s="39"/>
      <c r="PMR35" s="39"/>
      <c r="PMS35" s="39"/>
      <c r="PMT35" s="39"/>
      <c r="PMU35" s="39"/>
      <c r="PMV35" s="39"/>
      <c r="PMW35" s="39"/>
      <c r="PMX35" s="39"/>
      <c r="PMY35" s="39"/>
      <c r="PMZ35" s="39"/>
      <c r="PNA35" s="39"/>
      <c r="PNB35" s="39"/>
      <c r="PNC35" s="39"/>
      <c r="PND35" s="39"/>
      <c r="PNE35" s="39"/>
      <c r="PNF35" s="39"/>
      <c r="PNG35" s="39"/>
      <c r="PNH35" s="39"/>
      <c r="PNI35" s="39"/>
      <c r="PNJ35" s="39"/>
      <c r="PNK35" s="39"/>
      <c r="PNL35" s="39"/>
      <c r="PNM35" s="39"/>
      <c r="PNN35" s="39"/>
      <c r="PNO35" s="39"/>
      <c r="PNP35" s="39"/>
      <c r="PNQ35" s="39"/>
      <c r="PNR35" s="39"/>
      <c r="PNS35" s="39"/>
      <c r="PNT35" s="39"/>
      <c r="PNU35" s="39"/>
      <c r="PNV35" s="39"/>
      <c r="PNW35" s="39"/>
      <c r="PNX35" s="39"/>
      <c r="PNY35" s="39"/>
      <c r="PNZ35" s="39"/>
      <c r="POA35" s="39"/>
      <c r="POB35" s="39"/>
      <c r="POC35" s="39"/>
      <c r="POD35" s="39"/>
      <c r="POE35" s="39"/>
      <c r="POF35" s="39"/>
      <c r="POG35" s="39"/>
      <c r="POH35" s="39"/>
      <c r="POI35" s="39"/>
      <c r="POJ35" s="39"/>
      <c r="POK35" s="39"/>
      <c r="POL35" s="39"/>
      <c r="POM35" s="39"/>
      <c r="PON35" s="39"/>
      <c r="POO35" s="39"/>
      <c r="POP35" s="39"/>
      <c r="POQ35" s="39"/>
      <c r="POR35" s="39"/>
      <c r="POS35" s="39"/>
      <c r="POT35" s="39"/>
      <c r="POU35" s="39"/>
      <c r="POV35" s="39"/>
      <c r="POW35" s="39"/>
      <c r="POX35" s="39"/>
      <c r="POY35" s="39"/>
      <c r="POZ35" s="39"/>
      <c r="PPA35" s="39"/>
      <c r="PPB35" s="39"/>
      <c r="PPC35" s="39"/>
      <c r="PPD35" s="39"/>
      <c r="PPE35" s="39"/>
      <c r="PPF35" s="39"/>
      <c r="PPG35" s="39"/>
      <c r="PPH35" s="39"/>
      <c r="PPI35" s="39"/>
      <c r="PPJ35" s="39"/>
      <c r="PPK35" s="39"/>
      <c r="PPL35" s="39"/>
      <c r="PPM35" s="39"/>
      <c r="PPN35" s="39"/>
      <c r="PPO35" s="39"/>
      <c r="PPP35" s="39"/>
      <c r="PPQ35" s="39"/>
      <c r="PPR35" s="39"/>
      <c r="PPS35" s="39"/>
      <c r="PPT35" s="39"/>
      <c r="PPU35" s="39"/>
      <c r="PPV35" s="39"/>
      <c r="PPW35" s="39"/>
      <c r="PPX35" s="39"/>
      <c r="PPY35" s="39"/>
      <c r="PPZ35" s="39"/>
      <c r="PQA35" s="39"/>
      <c r="PQB35" s="39"/>
      <c r="PQC35" s="39"/>
      <c r="PQD35" s="39"/>
      <c r="PQE35" s="39"/>
      <c r="PQF35" s="39"/>
      <c r="PQG35" s="39"/>
      <c r="PQH35" s="39"/>
      <c r="PQI35" s="39"/>
      <c r="PQJ35" s="39"/>
      <c r="PQK35" s="39"/>
      <c r="PQL35" s="39"/>
      <c r="PQM35" s="39"/>
      <c r="PQN35" s="39"/>
      <c r="PQO35" s="39"/>
      <c r="PQP35" s="39"/>
      <c r="PQQ35" s="39"/>
      <c r="PQR35" s="39"/>
      <c r="PQS35" s="39"/>
      <c r="PQT35" s="39"/>
      <c r="PQU35" s="39"/>
      <c r="PQV35" s="39"/>
      <c r="PQW35" s="39"/>
      <c r="PQX35" s="39"/>
      <c r="PQY35" s="39"/>
      <c r="PQZ35" s="39"/>
      <c r="PRA35" s="39"/>
      <c r="PRB35" s="39"/>
      <c r="PRC35" s="39"/>
      <c r="PRD35" s="39"/>
      <c r="PRE35" s="39"/>
      <c r="PRF35" s="39"/>
      <c r="PRG35" s="39"/>
      <c r="PRH35" s="39"/>
      <c r="PRI35" s="39"/>
      <c r="PRJ35" s="39"/>
      <c r="PRK35" s="39"/>
      <c r="PRL35" s="39"/>
      <c r="PRM35" s="39"/>
      <c r="PRN35" s="39"/>
      <c r="PRO35" s="39"/>
      <c r="PRP35" s="39"/>
      <c r="PRQ35" s="39"/>
      <c r="PRR35" s="39"/>
      <c r="PRS35" s="39"/>
      <c r="PRT35" s="39"/>
      <c r="PRU35" s="39"/>
      <c r="PRV35" s="39"/>
      <c r="PRW35" s="39"/>
      <c r="PRX35" s="39"/>
      <c r="PRY35" s="39"/>
      <c r="PRZ35" s="39"/>
      <c r="PSA35" s="39"/>
      <c r="PSB35" s="39"/>
      <c r="PSC35" s="39"/>
      <c r="PSD35" s="39"/>
      <c r="PSE35" s="39"/>
      <c r="PSF35" s="39"/>
      <c r="PSG35" s="39"/>
      <c r="PSH35" s="39"/>
      <c r="PSI35" s="39"/>
      <c r="PSJ35" s="39"/>
      <c r="PSK35" s="39"/>
      <c r="PSL35" s="39"/>
      <c r="PSM35" s="39"/>
      <c r="PSN35" s="39"/>
      <c r="PSO35" s="39"/>
      <c r="PSP35" s="39"/>
      <c r="PSQ35" s="39"/>
      <c r="PSR35" s="39"/>
      <c r="PSS35" s="39"/>
      <c r="PST35" s="39"/>
      <c r="PSU35" s="39"/>
      <c r="PSV35" s="39"/>
      <c r="PSW35" s="39"/>
      <c r="PSX35" s="39"/>
      <c r="PSY35" s="39"/>
      <c r="PSZ35" s="39"/>
      <c r="PTA35" s="39"/>
      <c r="PTB35" s="39"/>
      <c r="PTC35" s="39"/>
      <c r="PTD35" s="39"/>
      <c r="PTE35" s="39"/>
      <c r="PTF35" s="39"/>
      <c r="PTG35" s="39"/>
      <c r="PTH35" s="39"/>
      <c r="PTI35" s="39"/>
      <c r="PTJ35" s="39"/>
      <c r="PTK35" s="39"/>
      <c r="PTL35" s="39"/>
      <c r="PTM35" s="39"/>
      <c r="PTN35" s="39"/>
      <c r="PTO35" s="39"/>
      <c r="PTP35" s="39"/>
      <c r="PTQ35" s="39"/>
      <c r="PTR35" s="39"/>
      <c r="PTS35" s="39"/>
      <c r="PTT35" s="39"/>
      <c r="PTU35" s="39"/>
      <c r="PTV35" s="39"/>
      <c r="PTW35" s="39"/>
      <c r="PTX35" s="39"/>
      <c r="PTY35" s="39"/>
      <c r="PTZ35" s="39"/>
      <c r="PUA35" s="39"/>
      <c r="PUB35" s="39"/>
      <c r="PUC35" s="39"/>
      <c r="PUD35" s="39"/>
      <c r="PUE35" s="39"/>
      <c r="PUF35" s="39"/>
      <c r="PUG35" s="39"/>
      <c r="PUH35" s="39"/>
      <c r="PUI35" s="39"/>
      <c r="PUJ35" s="39"/>
      <c r="PUK35" s="39"/>
      <c r="PUL35" s="39"/>
      <c r="PUM35" s="39"/>
      <c r="PUN35" s="39"/>
      <c r="PUO35" s="39"/>
      <c r="PUP35" s="39"/>
      <c r="PUQ35" s="39"/>
      <c r="PUR35" s="39"/>
      <c r="PUS35" s="39"/>
      <c r="PUT35" s="39"/>
      <c r="PUU35" s="39"/>
      <c r="PUV35" s="39"/>
      <c r="PUW35" s="39"/>
      <c r="PUX35" s="39"/>
      <c r="PUY35" s="39"/>
      <c r="PUZ35" s="39"/>
      <c r="PVA35" s="39"/>
      <c r="PVB35" s="39"/>
      <c r="PVC35" s="39"/>
      <c r="PVD35" s="39"/>
      <c r="PVE35" s="39"/>
      <c r="PVF35" s="39"/>
      <c r="PVG35" s="39"/>
      <c r="PVH35" s="39"/>
      <c r="PVI35" s="39"/>
      <c r="PVJ35" s="39"/>
      <c r="PVK35" s="39"/>
      <c r="PVL35" s="39"/>
      <c r="PVM35" s="39"/>
      <c r="PVN35" s="39"/>
      <c r="PVO35" s="39"/>
      <c r="PVP35" s="39"/>
      <c r="PVQ35" s="39"/>
      <c r="PVR35" s="39"/>
      <c r="PVS35" s="39"/>
      <c r="PVT35" s="39"/>
      <c r="PVU35" s="39"/>
      <c r="PVV35" s="39"/>
      <c r="PVW35" s="39"/>
      <c r="PVX35" s="39"/>
      <c r="PVY35" s="39"/>
      <c r="PVZ35" s="39"/>
      <c r="PWA35" s="39"/>
      <c r="PWB35" s="39"/>
      <c r="PWC35" s="39"/>
      <c r="PWD35" s="39"/>
      <c r="PWE35" s="39"/>
      <c r="PWF35" s="39"/>
      <c r="PWG35" s="39"/>
      <c r="PWH35" s="39"/>
      <c r="PWI35" s="39"/>
      <c r="PWJ35" s="39"/>
      <c r="PWK35" s="39"/>
      <c r="PWL35" s="39"/>
      <c r="PWM35" s="39"/>
      <c r="PWN35" s="39"/>
      <c r="PWO35" s="39"/>
      <c r="PWP35" s="39"/>
      <c r="PWQ35" s="39"/>
      <c r="PWR35" s="39"/>
      <c r="PWS35" s="39"/>
      <c r="PWT35" s="39"/>
      <c r="PWU35" s="39"/>
      <c r="PWV35" s="39"/>
      <c r="PWW35" s="39"/>
      <c r="PWX35" s="39"/>
      <c r="PWY35" s="39"/>
      <c r="PWZ35" s="39"/>
      <c r="PXA35" s="39"/>
      <c r="PXB35" s="39"/>
      <c r="PXC35" s="39"/>
      <c r="PXD35" s="39"/>
      <c r="PXE35" s="39"/>
      <c r="PXF35" s="39"/>
      <c r="PXG35" s="39"/>
      <c r="PXH35" s="39"/>
      <c r="PXI35" s="39"/>
      <c r="PXJ35" s="39"/>
      <c r="PXK35" s="39"/>
      <c r="PXL35" s="39"/>
      <c r="PXM35" s="39"/>
      <c r="PXN35" s="39"/>
      <c r="PXO35" s="39"/>
      <c r="PXP35" s="39"/>
      <c r="PXQ35" s="39"/>
      <c r="PXR35" s="39"/>
      <c r="PXS35" s="39"/>
      <c r="PXT35" s="39"/>
      <c r="PXU35" s="39"/>
      <c r="PXV35" s="39"/>
      <c r="PXW35" s="39"/>
      <c r="PXX35" s="39"/>
      <c r="PXY35" s="39"/>
      <c r="PXZ35" s="39"/>
      <c r="PYA35" s="39"/>
      <c r="PYB35" s="39"/>
      <c r="PYC35" s="39"/>
      <c r="PYD35" s="39"/>
      <c r="PYE35" s="39"/>
      <c r="PYF35" s="39"/>
      <c r="PYG35" s="39"/>
      <c r="PYH35" s="39"/>
      <c r="PYI35" s="39"/>
      <c r="PYJ35" s="39"/>
      <c r="PYK35" s="39"/>
      <c r="PYL35" s="39"/>
      <c r="PYM35" s="39"/>
      <c r="PYN35" s="39"/>
      <c r="PYO35" s="39"/>
      <c r="PYP35" s="39"/>
      <c r="PYQ35" s="39"/>
      <c r="PYR35" s="39"/>
      <c r="PYS35" s="39"/>
      <c r="PYT35" s="39"/>
      <c r="PYU35" s="39"/>
      <c r="PYV35" s="39"/>
      <c r="PYW35" s="39"/>
      <c r="PYX35" s="39"/>
      <c r="PYY35" s="39"/>
      <c r="PYZ35" s="39"/>
      <c r="PZA35" s="39"/>
      <c r="PZB35" s="39"/>
      <c r="PZC35" s="39"/>
      <c r="PZD35" s="39"/>
      <c r="PZE35" s="39"/>
      <c r="PZF35" s="39"/>
      <c r="PZG35" s="39"/>
      <c r="PZH35" s="39"/>
      <c r="PZI35" s="39"/>
      <c r="PZJ35" s="39"/>
      <c r="PZK35" s="39"/>
      <c r="PZL35" s="39"/>
      <c r="PZM35" s="39"/>
      <c r="PZN35" s="39"/>
      <c r="PZO35" s="39"/>
      <c r="PZP35" s="39"/>
      <c r="PZQ35" s="39"/>
      <c r="PZR35" s="39"/>
      <c r="PZS35" s="39"/>
      <c r="PZT35" s="39"/>
      <c r="PZU35" s="39"/>
      <c r="PZV35" s="39"/>
      <c r="PZW35" s="39"/>
      <c r="PZX35" s="39"/>
      <c r="PZY35" s="39"/>
      <c r="PZZ35" s="39"/>
      <c r="QAA35" s="39"/>
      <c r="QAB35" s="39"/>
      <c r="QAC35" s="39"/>
      <c r="QAD35" s="39"/>
      <c r="QAE35" s="39"/>
      <c r="QAF35" s="39"/>
      <c r="QAG35" s="39"/>
      <c r="QAH35" s="39"/>
      <c r="QAI35" s="39"/>
      <c r="QAJ35" s="39"/>
      <c r="QAK35" s="39"/>
      <c r="QAL35" s="39"/>
      <c r="QAM35" s="39"/>
      <c r="QAN35" s="39"/>
      <c r="QAO35" s="39"/>
      <c r="QAP35" s="39"/>
      <c r="QAQ35" s="39"/>
      <c r="QAR35" s="39"/>
      <c r="QAS35" s="39"/>
      <c r="QAT35" s="39"/>
      <c r="QAU35" s="39"/>
      <c r="QAV35" s="39"/>
      <c r="QAW35" s="39"/>
      <c r="QAX35" s="39"/>
      <c r="QAY35" s="39"/>
      <c r="QAZ35" s="39"/>
      <c r="QBA35" s="39"/>
      <c r="QBB35" s="39"/>
      <c r="QBC35" s="39"/>
      <c r="QBD35" s="39"/>
      <c r="QBE35" s="39"/>
      <c r="QBF35" s="39"/>
      <c r="QBG35" s="39"/>
      <c r="QBH35" s="39"/>
      <c r="QBI35" s="39"/>
      <c r="QBJ35" s="39"/>
      <c r="QBK35" s="39"/>
      <c r="QBL35" s="39"/>
      <c r="QBM35" s="39"/>
      <c r="QBN35" s="39"/>
      <c r="QBO35" s="39"/>
      <c r="QBP35" s="39"/>
      <c r="QBQ35" s="39"/>
      <c r="QBR35" s="39"/>
      <c r="QBS35" s="39"/>
      <c r="QBT35" s="39"/>
      <c r="QBU35" s="39"/>
      <c r="QBV35" s="39"/>
      <c r="QBW35" s="39"/>
      <c r="QBX35" s="39"/>
      <c r="QBY35" s="39"/>
      <c r="QBZ35" s="39"/>
      <c r="QCA35" s="39"/>
      <c r="QCB35" s="39"/>
      <c r="QCC35" s="39"/>
      <c r="QCD35" s="39"/>
      <c r="QCE35" s="39"/>
      <c r="QCF35" s="39"/>
      <c r="QCG35" s="39"/>
      <c r="QCH35" s="39"/>
      <c r="QCI35" s="39"/>
      <c r="QCJ35" s="39"/>
      <c r="QCK35" s="39"/>
      <c r="QCL35" s="39"/>
      <c r="QCM35" s="39"/>
      <c r="QCN35" s="39"/>
      <c r="QCO35" s="39"/>
      <c r="QCP35" s="39"/>
      <c r="QCQ35" s="39"/>
      <c r="QCR35" s="39"/>
      <c r="QCS35" s="39"/>
      <c r="QCT35" s="39"/>
      <c r="QCU35" s="39"/>
      <c r="QCV35" s="39"/>
      <c r="QCW35" s="39"/>
      <c r="QCX35" s="39"/>
      <c r="QCY35" s="39"/>
      <c r="QCZ35" s="39"/>
      <c r="QDA35" s="39"/>
      <c r="QDB35" s="39"/>
      <c r="QDC35" s="39"/>
      <c r="QDD35" s="39"/>
      <c r="QDE35" s="39"/>
      <c r="QDF35" s="39"/>
      <c r="QDG35" s="39"/>
      <c r="QDH35" s="39"/>
      <c r="QDI35" s="39"/>
      <c r="QDJ35" s="39"/>
      <c r="QDK35" s="39"/>
      <c r="QDL35" s="39"/>
      <c r="QDM35" s="39"/>
      <c r="QDN35" s="39"/>
      <c r="QDO35" s="39"/>
      <c r="QDP35" s="39"/>
      <c r="QDQ35" s="39"/>
      <c r="QDR35" s="39"/>
      <c r="QDS35" s="39"/>
      <c r="QDT35" s="39"/>
      <c r="QDU35" s="39"/>
      <c r="QDV35" s="39"/>
      <c r="QDW35" s="39"/>
      <c r="QDX35" s="39"/>
      <c r="QDY35" s="39"/>
      <c r="QDZ35" s="39"/>
      <c r="QEA35" s="39"/>
      <c r="QEB35" s="39"/>
      <c r="QEC35" s="39"/>
      <c r="QED35" s="39"/>
      <c r="QEE35" s="39"/>
      <c r="QEF35" s="39"/>
      <c r="QEG35" s="39"/>
      <c r="QEH35" s="39"/>
      <c r="QEI35" s="39"/>
      <c r="QEJ35" s="39"/>
      <c r="QEK35" s="39"/>
      <c r="QEL35" s="39"/>
      <c r="QEM35" s="39"/>
      <c r="QEN35" s="39"/>
      <c r="QEO35" s="39"/>
      <c r="QEP35" s="39"/>
      <c r="QEQ35" s="39"/>
      <c r="QER35" s="39"/>
      <c r="QES35" s="39"/>
      <c r="QET35" s="39"/>
      <c r="QEU35" s="39"/>
      <c r="QEV35" s="39"/>
      <c r="QEW35" s="39"/>
      <c r="QEX35" s="39"/>
      <c r="QEY35" s="39"/>
      <c r="QEZ35" s="39"/>
      <c r="QFA35" s="39"/>
      <c r="QFB35" s="39"/>
      <c r="QFC35" s="39"/>
      <c r="QFD35" s="39"/>
      <c r="QFE35" s="39"/>
      <c r="QFF35" s="39"/>
      <c r="QFG35" s="39"/>
      <c r="QFH35" s="39"/>
      <c r="QFI35" s="39"/>
      <c r="QFJ35" s="39"/>
      <c r="QFK35" s="39"/>
      <c r="QFL35" s="39"/>
      <c r="QFM35" s="39"/>
      <c r="QFN35" s="39"/>
      <c r="QFO35" s="39"/>
      <c r="QFP35" s="39"/>
      <c r="QFQ35" s="39"/>
      <c r="QFR35" s="39"/>
      <c r="QFS35" s="39"/>
      <c r="QFT35" s="39"/>
      <c r="QFU35" s="39"/>
      <c r="QFV35" s="39"/>
      <c r="QFW35" s="39"/>
      <c r="QFX35" s="39"/>
      <c r="QFY35" s="39"/>
      <c r="QFZ35" s="39"/>
      <c r="QGA35" s="39"/>
      <c r="QGB35" s="39"/>
      <c r="QGC35" s="39"/>
      <c r="QGD35" s="39"/>
      <c r="QGE35" s="39"/>
      <c r="QGF35" s="39"/>
      <c r="QGG35" s="39"/>
      <c r="QGH35" s="39"/>
      <c r="QGI35" s="39"/>
      <c r="QGJ35" s="39"/>
      <c r="QGK35" s="39"/>
      <c r="QGL35" s="39"/>
      <c r="QGM35" s="39"/>
      <c r="QGN35" s="39"/>
      <c r="QGO35" s="39"/>
      <c r="QGP35" s="39"/>
      <c r="QGQ35" s="39"/>
      <c r="QGR35" s="39"/>
      <c r="QGS35" s="39"/>
      <c r="QGT35" s="39"/>
      <c r="QGU35" s="39"/>
      <c r="QGV35" s="39"/>
      <c r="QGW35" s="39"/>
      <c r="QGX35" s="39"/>
      <c r="QGY35" s="39"/>
      <c r="QGZ35" s="39"/>
      <c r="QHA35" s="39"/>
      <c r="QHB35" s="39"/>
      <c r="QHC35" s="39"/>
      <c r="QHD35" s="39"/>
      <c r="QHE35" s="39"/>
      <c r="QHF35" s="39"/>
      <c r="QHG35" s="39"/>
      <c r="QHH35" s="39"/>
      <c r="QHI35" s="39"/>
      <c r="QHJ35" s="39"/>
      <c r="QHK35" s="39"/>
      <c r="QHL35" s="39"/>
      <c r="QHM35" s="39"/>
      <c r="QHN35" s="39"/>
      <c r="QHO35" s="39"/>
      <c r="QHP35" s="39"/>
      <c r="QHQ35" s="39"/>
      <c r="QHR35" s="39"/>
      <c r="QHS35" s="39"/>
      <c r="QHT35" s="39"/>
      <c r="QHU35" s="39"/>
      <c r="QHV35" s="39"/>
      <c r="QHW35" s="39"/>
      <c r="QHX35" s="39"/>
      <c r="QHY35" s="39"/>
      <c r="QHZ35" s="39"/>
      <c r="QIA35" s="39"/>
      <c r="QIB35" s="39"/>
      <c r="QIC35" s="39"/>
      <c r="QID35" s="39"/>
      <c r="QIE35" s="39"/>
      <c r="QIF35" s="39"/>
      <c r="QIG35" s="39"/>
      <c r="QIH35" s="39"/>
      <c r="QII35" s="39"/>
      <c r="QIJ35" s="39"/>
      <c r="QIK35" s="39"/>
      <c r="QIL35" s="39"/>
      <c r="QIM35" s="39"/>
      <c r="QIN35" s="39"/>
      <c r="QIO35" s="39"/>
      <c r="QIP35" s="39"/>
      <c r="QIQ35" s="39"/>
      <c r="QIR35" s="39"/>
      <c r="QIS35" s="39"/>
      <c r="QIT35" s="39"/>
      <c r="QIU35" s="39"/>
      <c r="QIV35" s="39"/>
      <c r="QIW35" s="39"/>
      <c r="QIX35" s="39"/>
      <c r="QIY35" s="39"/>
      <c r="QIZ35" s="39"/>
      <c r="QJA35" s="39"/>
      <c r="QJB35" s="39"/>
      <c r="QJC35" s="39"/>
      <c r="QJD35" s="39"/>
      <c r="QJE35" s="39"/>
      <c r="QJF35" s="39"/>
      <c r="QJG35" s="39"/>
      <c r="QJH35" s="39"/>
      <c r="QJI35" s="39"/>
      <c r="QJJ35" s="39"/>
      <c r="QJK35" s="39"/>
      <c r="QJL35" s="39"/>
      <c r="QJM35" s="39"/>
      <c r="QJN35" s="39"/>
      <c r="QJO35" s="39"/>
      <c r="QJP35" s="39"/>
      <c r="QJQ35" s="39"/>
      <c r="QJR35" s="39"/>
      <c r="QJS35" s="39"/>
      <c r="QJT35" s="39"/>
      <c r="QJU35" s="39"/>
      <c r="QJV35" s="39"/>
      <c r="QJW35" s="39"/>
      <c r="QJX35" s="39"/>
      <c r="QJY35" s="39"/>
      <c r="QJZ35" s="39"/>
      <c r="QKA35" s="39"/>
      <c r="QKB35" s="39"/>
      <c r="QKC35" s="39"/>
      <c r="QKD35" s="39"/>
      <c r="QKE35" s="39"/>
      <c r="QKF35" s="39"/>
      <c r="QKG35" s="39"/>
      <c r="QKH35" s="39"/>
      <c r="QKI35" s="39"/>
      <c r="QKJ35" s="39"/>
      <c r="QKK35" s="39"/>
      <c r="QKL35" s="39"/>
      <c r="QKM35" s="39"/>
      <c r="QKN35" s="39"/>
      <c r="QKO35" s="39"/>
      <c r="QKP35" s="39"/>
      <c r="QKQ35" s="39"/>
      <c r="QKR35" s="39"/>
      <c r="QKS35" s="39"/>
      <c r="QKT35" s="39"/>
      <c r="QKU35" s="39"/>
      <c r="QKV35" s="39"/>
      <c r="QKW35" s="39"/>
      <c r="QKX35" s="39"/>
      <c r="QKY35" s="39"/>
      <c r="QKZ35" s="39"/>
      <c r="QLA35" s="39"/>
      <c r="QLB35" s="39"/>
      <c r="QLC35" s="39"/>
      <c r="QLD35" s="39"/>
      <c r="QLE35" s="39"/>
      <c r="QLF35" s="39"/>
      <c r="QLG35" s="39"/>
      <c r="QLH35" s="39"/>
      <c r="QLI35" s="39"/>
      <c r="QLJ35" s="39"/>
      <c r="QLK35" s="39"/>
      <c r="QLL35" s="39"/>
      <c r="QLM35" s="39"/>
      <c r="QLN35" s="39"/>
      <c r="QLO35" s="39"/>
      <c r="QLP35" s="39"/>
      <c r="QLQ35" s="39"/>
      <c r="QLR35" s="39"/>
      <c r="QLS35" s="39"/>
      <c r="QLT35" s="39"/>
      <c r="QLU35" s="39"/>
      <c r="QLV35" s="39"/>
      <c r="QLW35" s="39"/>
      <c r="QLX35" s="39"/>
      <c r="QLY35" s="39"/>
      <c r="QLZ35" s="39"/>
      <c r="QMA35" s="39"/>
      <c r="QMB35" s="39"/>
      <c r="QMC35" s="39"/>
      <c r="QMD35" s="39"/>
      <c r="QME35" s="39"/>
      <c r="QMF35" s="39"/>
      <c r="QMG35" s="39"/>
      <c r="QMH35" s="39"/>
      <c r="QMI35" s="39"/>
      <c r="QMJ35" s="39"/>
      <c r="QMK35" s="39"/>
      <c r="QML35" s="39"/>
      <c r="QMM35" s="39"/>
      <c r="QMN35" s="39"/>
      <c r="QMO35" s="39"/>
      <c r="QMP35" s="39"/>
      <c r="QMQ35" s="39"/>
      <c r="QMR35" s="39"/>
      <c r="QMS35" s="39"/>
      <c r="QMT35" s="39"/>
      <c r="QMU35" s="39"/>
      <c r="QMV35" s="39"/>
      <c r="QMW35" s="39"/>
      <c r="QMX35" s="39"/>
      <c r="QMY35" s="39"/>
      <c r="QMZ35" s="39"/>
      <c r="QNA35" s="39"/>
      <c r="QNB35" s="39"/>
      <c r="QNC35" s="39"/>
      <c r="QND35" s="39"/>
      <c r="QNE35" s="39"/>
      <c r="QNF35" s="39"/>
      <c r="QNG35" s="39"/>
      <c r="QNH35" s="39"/>
      <c r="QNI35" s="39"/>
      <c r="QNJ35" s="39"/>
      <c r="QNK35" s="39"/>
      <c r="QNL35" s="39"/>
      <c r="QNM35" s="39"/>
      <c r="QNN35" s="39"/>
      <c r="QNO35" s="39"/>
      <c r="QNP35" s="39"/>
      <c r="QNQ35" s="39"/>
      <c r="QNR35" s="39"/>
      <c r="QNS35" s="39"/>
      <c r="QNT35" s="39"/>
      <c r="QNU35" s="39"/>
      <c r="QNV35" s="39"/>
      <c r="QNW35" s="39"/>
      <c r="QNX35" s="39"/>
      <c r="QNY35" s="39"/>
      <c r="QNZ35" s="39"/>
      <c r="QOA35" s="39"/>
      <c r="QOB35" s="39"/>
      <c r="QOC35" s="39"/>
      <c r="QOD35" s="39"/>
      <c r="QOE35" s="39"/>
      <c r="QOF35" s="39"/>
      <c r="QOG35" s="39"/>
      <c r="QOH35" s="39"/>
      <c r="QOI35" s="39"/>
      <c r="QOJ35" s="39"/>
      <c r="QOK35" s="39"/>
      <c r="QOL35" s="39"/>
      <c r="QOM35" s="39"/>
      <c r="QON35" s="39"/>
      <c r="QOO35" s="39"/>
      <c r="QOP35" s="39"/>
      <c r="QOQ35" s="39"/>
      <c r="QOR35" s="39"/>
      <c r="QOS35" s="39"/>
      <c r="QOT35" s="39"/>
      <c r="QOU35" s="39"/>
      <c r="QOV35" s="39"/>
      <c r="QOW35" s="39"/>
      <c r="QOX35" s="39"/>
      <c r="QOY35" s="39"/>
      <c r="QOZ35" s="39"/>
      <c r="QPA35" s="39"/>
      <c r="QPB35" s="39"/>
      <c r="QPC35" s="39"/>
      <c r="QPD35" s="39"/>
      <c r="QPE35" s="39"/>
      <c r="QPF35" s="39"/>
      <c r="QPG35" s="39"/>
      <c r="QPH35" s="39"/>
      <c r="QPI35" s="39"/>
      <c r="QPJ35" s="39"/>
      <c r="QPK35" s="39"/>
      <c r="QPL35" s="39"/>
      <c r="QPM35" s="39"/>
      <c r="QPN35" s="39"/>
      <c r="QPO35" s="39"/>
      <c r="QPP35" s="39"/>
      <c r="QPQ35" s="39"/>
      <c r="QPR35" s="39"/>
      <c r="QPS35" s="39"/>
      <c r="QPT35" s="39"/>
      <c r="QPU35" s="39"/>
      <c r="QPV35" s="39"/>
      <c r="QPW35" s="39"/>
      <c r="QPX35" s="39"/>
      <c r="QPY35" s="39"/>
      <c r="QPZ35" s="39"/>
      <c r="QQA35" s="39"/>
      <c r="QQB35" s="39"/>
      <c r="QQC35" s="39"/>
      <c r="QQD35" s="39"/>
      <c r="QQE35" s="39"/>
      <c r="QQF35" s="39"/>
      <c r="QQG35" s="39"/>
      <c r="QQH35" s="39"/>
      <c r="QQI35" s="39"/>
      <c r="QQJ35" s="39"/>
      <c r="QQK35" s="39"/>
      <c r="QQL35" s="39"/>
      <c r="QQM35" s="39"/>
      <c r="QQN35" s="39"/>
      <c r="QQO35" s="39"/>
      <c r="QQP35" s="39"/>
      <c r="QQQ35" s="39"/>
      <c r="QQR35" s="39"/>
      <c r="QQS35" s="39"/>
      <c r="QQT35" s="39"/>
      <c r="QQU35" s="39"/>
      <c r="QQV35" s="39"/>
      <c r="QQW35" s="39"/>
      <c r="QQX35" s="39"/>
      <c r="QQY35" s="39"/>
      <c r="QQZ35" s="39"/>
      <c r="QRA35" s="39"/>
      <c r="QRB35" s="39"/>
      <c r="QRC35" s="39"/>
      <c r="QRD35" s="39"/>
      <c r="QRE35" s="39"/>
      <c r="QRF35" s="39"/>
      <c r="QRG35" s="39"/>
      <c r="QRH35" s="39"/>
      <c r="QRI35" s="39"/>
      <c r="QRJ35" s="39"/>
      <c r="QRK35" s="39"/>
      <c r="QRL35" s="39"/>
      <c r="QRM35" s="39"/>
      <c r="QRN35" s="39"/>
      <c r="QRO35" s="39"/>
      <c r="QRP35" s="39"/>
      <c r="QRQ35" s="39"/>
      <c r="QRR35" s="39"/>
      <c r="QRS35" s="39"/>
      <c r="QRT35" s="39"/>
      <c r="QRU35" s="39"/>
      <c r="QRV35" s="39"/>
      <c r="QRW35" s="39"/>
      <c r="QRX35" s="39"/>
      <c r="QRY35" s="39"/>
      <c r="QRZ35" s="39"/>
      <c r="QSA35" s="39"/>
      <c r="QSB35" s="39"/>
      <c r="QSC35" s="39"/>
      <c r="QSD35" s="39"/>
      <c r="QSE35" s="39"/>
      <c r="QSF35" s="39"/>
      <c r="QSG35" s="39"/>
      <c r="QSH35" s="39"/>
      <c r="QSI35" s="39"/>
      <c r="QSJ35" s="39"/>
      <c r="QSK35" s="39"/>
      <c r="QSL35" s="39"/>
      <c r="QSM35" s="39"/>
      <c r="QSN35" s="39"/>
      <c r="QSO35" s="39"/>
      <c r="QSP35" s="39"/>
      <c r="QSQ35" s="39"/>
      <c r="QSR35" s="39"/>
      <c r="QSS35" s="39"/>
      <c r="QST35" s="39"/>
      <c r="QSU35" s="39"/>
      <c r="QSV35" s="39"/>
      <c r="QSW35" s="39"/>
      <c r="QSX35" s="39"/>
      <c r="QSY35" s="39"/>
      <c r="QSZ35" s="39"/>
      <c r="QTA35" s="39"/>
      <c r="QTB35" s="39"/>
      <c r="QTC35" s="39"/>
      <c r="QTD35" s="39"/>
      <c r="QTE35" s="39"/>
      <c r="QTF35" s="39"/>
      <c r="QTG35" s="39"/>
      <c r="QTH35" s="39"/>
      <c r="QTI35" s="39"/>
      <c r="QTJ35" s="39"/>
      <c r="QTK35" s="39"/>
      <c r="QTL35" s="39"/>
      <c r="QTM35" s="39"/>
      <c r="QTN35" s="39"/>
      <c r="QTO35" s="39"/>
      <c r="QTP35" s="39"/>
      <c r="QTQ35" s="39"/>
      <c r="QTR35" s="39"/>
      <c r="QTS35" s="39"/>
      <c r="QTT35" s="39"/>
      <c r="QTU35" s="39"/>
      <c r="QTV35" s="39"/>
      <c r="QTW35" s="39"/>
      <c r="QTX35" s="39"/>
      <c r="QTY35" s="39"/>
      <c r="QTZ35" s="39"/>
      <c r="QUA35" s="39"/>
      <c r="QUB35" s="39"/>
      <c r="QUC35" s="39"/>
      <c r="QUD35" s="39"/>
      <c r="QUE35" s="39"/>
      <c r="QUF35" s="39"/>
      <c r="QUG35" s="39"/>
      <c r="QUH35" s="39"/>
      <c r="QUI35" s="39"/>
      <c r="QUJ35" s="39"/>
      <c r="QUK35" s="39"/>
      <c r="QUL35" s="39"/>
      <c r="QUM35" s="39"/>
      <c r="QUN35" s="39"/>
      <c r="QUO35" s="39"/>
      <c r="QUP35" s="39"/>
      <c r="QUQ35" s="39"/>
      <c r="QUR35" s="39"/>
      <c r="QUS35" s="39"/>
      <c r="QUT35" s="39"/>
      <c r="QUU35" s="39"/>
      <c r="QUV35" s="39"/>
      <c r="QUW35" s="39"/>
      <c r="QUX35" s="39"/>
      <c r="QUY35" s="39"/>
      <c r="QUZ35" s="39"/>
      <c r="QVA35" s="39"/>
      <c r="QVB35" s="39"/>
      <c r="QVC35" s="39"/>
      <c r="QVD35" s="39"/>
      <c r="QVE35" s="39"/>
      <c r="QVF35" s="39"/>
      <c r="QVG35" s="39"/>
      <c r="QVH35" s="39"/>
      <c r="QVI35" s="39"/>
      <c r="QVJ35" s="39"/>
      <c r="QVK35" s="39"/>
      <c r="QVL35" s="39"/>
      <c r="QVM35" s="39"/>
      <c r="QVN35" s="39"/>
      <c r="QVO35" s="39"/>
      <c r="QVP35" s="39"/>
      <c r="QVQ35" s="39"/>
      <c r="QVR35" s="39"/>
      <c r="QVS35" s="39"/>
      <c r="QVT35" s="39"/>
      <c r="QVU35" s="39"/>
      <c r="QVV35" s="39"/>
      <c r="QVW35" s="39"/>
      <c r="QVX35" s="39"/>
      <c r="QVY35" s="39"/>
      <c r="QVZ35" s="39"/>
      <c r="QWA35" s="39"/>
      <c r="QWB35" s="39"/>
      <c r="QWC35" s="39"/>
      <c r="QWD35" s="39"/>
      <c r="QWE35" s="39"/>
      <c r="QWF35" s="39"/>
      <c r="QWG35" s="39"/>
      <c r="QWH35" s="39"/>
      <c r="QWI35" s="39"/>
      <c r="QWJ35" s="39"/>
      <c r="QWK35" s="39"/>
      <c r="QWL35" s="39"/>
      <c r="QWM35" s="39"/>
      <c r="QWN35" s="39"/>
      <c r="QWO35" s="39"/>
      <c r="QWP35" s="39"/>
      <c r="QWQ35" s="39"/>
      <c r="QWR35" s="39"/>
      <c r="QWS35" s="39"/>
      <c r="QWT35" s="39"/>
      <c r="QWU35" s="39"/>
      <c r="QWV35" s="39"/>
      <c r="QWW35" s="39"/>
      <c r="QWX35" s="39"/>
      <c r="QWY35" s="39"/>
      <c r="QWZ35" s="39"/>
      <c r="QXA35" s="39"/>
      <c r="QXB35" s="39"/>
      <c r="QXC35" s="39"/>
      <c r="QXD35" s="39"/>
      <c r="QXE35" s="39"/>
      <c r="QXF35" s="39"/>
      <c r="QXG35" s="39"/>
      <c r="QXH35" s="39"/>
      <c r="QXI35" s="39"/>
      <c r="QXJ35" s="39"/>
      <c r="QXK35" s="39"/>
      <c r="QXL35" s="39"/>
      <c r="QXM35" s="39"/>
      <c r="QXN35" s="39"/>
      <c r="QXO35" s="39"/>
      <c r="QXP35" s="39"/>
      <c r="QXQ35" s="39"/>
      <c r="QXR35" s="39"/>
      <c r="QXS35" s="39"/>
      <c r="QXT35" s="39"/>
      <c r="QXU35" s="39"/>
      <c r="QXV35" s="39"/>
      <c r="QXW35" s="39"/>
      <c r="QXX35" s="39"/>
      <c r="QXY35" s="39"/>
      <c r="QXZ35" s="39"/>
      <c r="QYA35" s="39"/>
      <c r="QYB35" s="39"/>
      <c r="QYC35" s="39"/>
      <c r="QYD35" s="39"/>
      <c r="QYE35" s="39"/>
      <c r="QYF35" s="39"/>
      <c r="QYG35" s="39"/>
      <c r="QYH35" s="39"/>
      <c r="QYI35" s="39"/>
      <c r="QYJ35" s="39"/>
      <c r="QYK35" s="39"/>
      <c r="QYL35" s="39"/>
      <c r="QYM35" s="39"/>
      <c r="QYN35" s="39"/>
      <c r="QYO35" s="39"/>
      <c r="QYP35" s="39"/>
      <c r="QYQ35" s="39"/>
      <c r="QYR35" s="39"/>
      <c r="QYS35" s="39"/>
      <c r="QYT35" s="39"/>
      <c r="QYU35" s="39"/>
      <c r="QYV35" s="39"/>
      <c r="QYW35" s="39"/>
      <c r="QYX35" s="39"/>
      <c r="QYY35" s="39"/>
      <c r="QYZ35" s="39"/>
      <c r="QZA35" s="39"/>
      <c r="QZB35" s="39"/>
      <c r="QZC35" s="39"/>
      <c r="QZD35" s="39"/>
      <c r="QZE35" s="39"/>
      <c r="QZF35" s="39"/>
      <c r="QZG35" s="39"/>
      <c r="QZH35" s="39"/>
      <c r="QZI35" s="39"/>
      <c r="QZJ35" s="39"/>
      <c r="QZK35" s="39"/>
      <c r="QZL35" s="39"/>
      <c r="QZM35" s="39"/>
      <c r="QZN35" s="39"/>
      <c r="QZO35" s="39"/>
      <c r="QZP35" s="39"/>
      <c r="QZQ35" s="39"/>
      <c r="QZR35" s="39"/>
      <c r="QZS35" s="39"/>
      <c r="QZT35" s="39"/>
      <c r="QZU35" s="39"/>
      <c r="QZV35" s="39"/>
      <c r="QZW35" s="39"/>
      <c r="QZX35" s="39"/>
      <c r="QZY35" s="39"/>
      <c r="QZZ35" s="39"/>
      <c r="RAA35" s="39"/>
      <c r="RAB35" s="39"/>
      <c r="RAC35" s="39"/>
      <c r="RAD35" s="39"/>
      <c r="RAE35" s="39"/>
      <c r="RAF35" s="39"/>
      <c r="RAG35" s="39"/>
      <c r="RAH35" s="39"/>
      <c r="RAI35" s="39"/>
      <c r="RAJ35" s="39"/>
      <c r="RAK35" s="39"/>
      <c r="RAL35" s="39"/>
      <c r="RAM35" s="39"/>
      <c r="RAN35" s="39"/>
      <c r="RAO35" s="39"/>
      <c r="RAP35" s="39"/>
      <c r="RAQ35" s="39"/>
      <c r="RAR35" s="39"/>
      <c r="RAS35" s="39"/>
      <c r="RAT35" s="39"/>
      <c r="RAU35" s="39"/>
      <c r="RAV35" s="39"/>
      <c r="RAW35" s="39"/>
      <c r="RAX35" s="39"/>
      <c r="RAY35" s="39"/>
      <c r="RAZ35" s="39"/>
      <c r="RBA35" s="39"/>
      <c r="RBB35" s="39"/>
      <c r="RBC35" s="39"/>
      <c r="RBD35" s="39"/>
      <c r="RBE35" s="39"/>
      <c r="RBF35" s="39"/>
      <c r="RBG35" s="39"/>
      <c r="RBH35" s="39"/>
      <c r="RBI35" s="39"/>
      <c r="RBJ35" s="39"/>
      <c r="RBK35" s="39"/>
      <c r="RBL35" s="39"/>
      <c r="RBM35" s="39"/>
      <c r="RBN35" s="39"/>
      <c r="RBO35" s="39"/>
      <c r="RBP35" s="39"/>
      <c r="RBQ35" s="39"/>
      <c r="RBR35" s="39"/>
      <c r="RBS35" s="39"/>
      <c r="RBT35" s="39"/>
      <c r="RBU35" s="39"/>
      <c r="RBV35" s="39"/>
      <c r="RBW35" s="39"/>
      <c r="RBX35" s="39"/>
      <c r="RBY35" s="39"/>
      <c r="RBZ35" s="39"/>
      <c r="RCA35" s="39"/>
      <c r="RCB35" s="39"/>
      <c r="RCC35" s="39"/>
      <c r="RCD35" s="39"/>
      <c r="RCE35" s="39"/>
      <c r="RCF35" s="39"/>
      <c r="RCG35" s="39"/>
      <c r="RCH35" s="39"/>
      <c r="RCI35" s="39"/>
      <c r="RCJ35" s="39"/>
      <c r="RCK35" s="39"/>
      <c r="RCL35" s="39"/>
      <c r="RCM35" s="39"/>
      <c r="RCN35" s="39"/>
      <c r="RCO35" s="39"/>
      <c r="RCP35" s="39"/>
      <c r="RCQ35" s="39"/>
      <c r="RCR35" s="39"/>
      <c r="RCS35" s="39"/>
      <c r="RCT35" s="39"/>
      <c r="RCU35" s="39"/>
      <c r="RCV35" s="39"/>
      <c r="RCW35" s="39"/>
      <c r="RCX35" s="39"/>
      <c r="RCY35" s="39"/>
      <c r="RCZ35" s="39"/>
      <c r="RDA35" s="39"/>
      <c r="RDB35" s="39"/>
      <c r="RDC35" s="39"/>
      <c r="RDD35" s="39"/>
      <c r="RDE35" s="39"/>
      <c r="RDF35" s="39"/>
      <c r="RDG35" s="39"/>
      <c r="RDH35" s="39"/>
      <c r="RDI35" s="39"/>
      <c r="RDJ35" s="39"/>
      <c r="RDK35" s="39"/>
      <c r="RDL35" s="39"/>
      <c r="RDM35" s="39"/>
      <c r="RDN35" s="39"/>
      <c r="RDO35" s="39"/>
      <c r="RDP35" s="39"/>
      <c r="RDQ35" s="39"/>
      <c r="RDR35" s="39"/>
      <c r="RDS35" s="39"/>
      <c r="RDT35" s="39"/>
      <c r="RDU35" s="39"/>
      <c r="RDV35" s="39"/>
      <c r="RDW35" s="39"/>
      <c r="RDX35" s="39"/>
      <c r="RDY35" s="39"/>
      <c r="RDZ35" s="39"/>
      <c r="REA35" s="39"/>
      <c r="REB35" s="39"/>
      <c r="REC35" s="39"/>
      <c r="RED35" s="39"/>
      <c r="REE35" s="39"/>
      <c r="REF35" s="39"/>
      <c r="REG35" s="39"/>
      <c r="REH35" s="39"/>
      <c r="REI35" s="39"/>
      <c r="REJ35" s="39"/>
      <c r="REK35" s="39"/>
      <c r="REL35" s="39"/>
      <c r="REM35" s="39"/>
      <c r="REN35" s="39"/>
      <c r="REO35" s="39"/>
      <c r="REP35" s="39"/>
      <c r="REQ35" s="39"/>
      <c r="RER35" s="39"/>
      <c r="RES35" s="39"/>
      <c r="RET35" s="39"/>
      <c r="REU35" s="39"/>
      <c r="REV35" s="39"/>
      <c r="REW35" s="39"/>
      <c r="REX35" s="39"/>
      <c r="REY35" s="39"/>
      <c r="REZ35" s="39"/>
      <c r="RFA35" s="39"/>
      <c r="RFB35" s="39"/>
      <c r="RFC35" s="39"/>
      <c r="RFD35" s="39"/>
      <c r="RFE35" s="39"/>
      <c r="RFF35" s="39"/>
      <c r="RFG35" s="39"/>
      <c r="RFH35" s="39"/>
      <c r="RFI35" s="39"/>
      <c r="RFJ35" s="39"/>
      <c r="RFK35" s="39"/>
      <c r="RFL35" s="39"/>
      <c r="RFM35" s="39"/>
      <c r="RFN35" s="39"/>
      <c r="RFO35" s="39"/>
      <c r="RFP35" s="39"/>
      <c r="RFQ35" s="39"/>
      <c r="RFR35" s="39"/>
      <c r="RFS35" s="39"/>
      <c r="RFT35" s="39"/>
      <c r="RFU35" s="39"/>
      <c r="RFV35" s="39"/>
      <c r="RFW35" s="39"/>
      <c r="RFX35" s="39"/>
      <c r="RFY35" s="39"/>
      <c r="RFZ35" s="39"/>
      <c r="RGA35" s="39"/>
      <c r="RGB35" s="39"/>
      <c r="RGC35" s="39"/>
      <c r="RGD35" s="39"/>
      <c r="RGE35" s="39"/>
      <c r="RGF35" s="39"/>
      <c r="RGG35" s="39"/>
      <c r="RGH35" s="39"/>
      <c r="RGI35" s="39"/>
      <c r="RGJ35" s="39"/>
      <c r="RGK35" s="39"/>
      <c r="RGL35" s="39"/>
      <c r="RGM35" s="39"/>
      <c r="RGN35" s="39"/>
      <c r="RGO35" s="39"/>
      <c r="RGP35" s="39"/>
      <c r="RGQ35" s="39"/>
      <c r="RGR35" s="39"/>
      <c r="RGS35" s="39"/>
      <c r="RGT35" s="39"/>
      <c r="RGU35" s="39"/>
      <c r="RGV35" s="39"/>
      <c r="RGW35" s="39"/>
      <c r="RGX35" s="39"/>
      <c r="RGY35" s="39"/>
      <c r="RGZ35" s="39"/>
      <c r="RHA35" s="39"/>
      <c r="RHB35" s="39"/>
      <c r="RHC35" s="39"/>
      <c r="RHD35" s="39"/>
      <c r="RHE35" s="39"/>
      <c r="RHF35" s="39"/>
      <c r="RHG35" s="39"/>
      <c r="RHH35" s="39"/>
      <c r="RHI35" s="39"/>
      <c r="RHJ35" s="39"/>
      <c r="RHK35" s="39"/>
      <c r="RHL35" s="39"/>
      <c r="RHM35" s="39"/>
      <c r="RHN35" s="39"/>
      <c r="RHO35" s="39"/>
      <c r="RHP35" s="39"/>
      <c r="RHQ35" s="39"/>
      <c r="RHR35" s="39"/>
      <c r="RHS35" s="39"/>
      <c r="RHT35" s="39"/>
      <c r="RHU35" s="39"/>
      <c r="RHV35" s="39"/>
      <c r="RHW35" s="39"/>
      <c r="RHX35" s="39"/>
      <c r="RHY35" s="39"/>
      <c r="RHZ35" s="39"/>
      <c r="RIA35" s="39"/>
      <c r="RIB35" s="39"/>
      <c r="RIC35" s="39"/>
      <c r="RID35" s="39"/>
      <c r="RIE35" s="39"/>
      <c r="RIF35" s="39"/>
      <c r="RIG35" s="39"/>
      <c r="RIH35" s="39"/>
      <c r="RII35" s="39"/>
      <c r="RIJ35" s="39"/>
      <c r="RIK35" s="39"/>
      <c r="RIL35" s="39"/>
      <c r="RIM35" s="39"/>
      <c r="RIN35" s="39"/>
      <c r="RIO35" s="39"/>
      <c r="RIP35" s="39"/>
      <c r="RIQ35" s="39"/>
      <c r="RIR35" s="39"/>
      <c r="RIS35" s="39"/>
      <c r="RIT35" s="39"/>
      <c r="RIU35" s="39"/>
      <c r="RIV35" s="39"/>
      <c r="RIW35" s="39"/>
      <c r="RIX35" s="39"/>
      <c r="RIY35" s="39"/>
      <c r="RIZ35" s="39"/>
      <c r="RJA35" s="39"/>
      <c r="RJB35" s="39"/>
      <c r="RJC35" s="39"/>
      <c r="RJD35" s="39"/>
      <c r="RJE35" s="39"/>
      <c r="RJF35" s="39"/>
      <c r="RJG35" s="39"/>
      <c r="RJH35" s="39"/>
      <c r="RJI35" s="39"/>
      <c r="RJJ35" s="39"/>
      <c r="RJK35" s="39"/>
      <c r="RJL35" s="39"/>
      <c r="RJM35" s="39"/>
      <c r="RJN35" s="39"/>
      <c r="RJO35" s="39"/>
      <c r="RJP35" s="39"/>
      <c r="RJQ35" s="39"/>
      <c r="RJR35" s="39"/>
      <c r="RJS35" s="39"/>
      <c r="RJT35" s="39"/>
      <c r="RJU35" s="39"/>
      <c r="RJV35" s="39"/>
      <c r="RJW35" s="39"/>
      <c r="RJX35" s="39"/>
      <c r="RJY35" s="39"/>
      <c r="RJZ35" s="39"/>
      <c r="RKA35" s="39"/>
      <c r="RKB35" s="39"/>
      <c r="RKC35" s="39"/>
      <c r="RKD35" s="39"/>
      <c r="RKE35" s="39"/>
      <c r="RKF35" s="39"/>
      <c r="RKG35" s="39"/>
      <c r="RKH35" s="39"/>
      <c r="RKI35" s="39"/>
      <c r="RKJ35" s="39"/>
      <c r="RKK35" s="39"/>
      <c r="RKL35" s="39"/>
      <c r="RKM35" s="39"/>
      <c r="RKN35" s="39"/>
      <c r="RKO35" s="39"/>
      <c r="RKP35" s="39"/>
      <c r="RKQ35" s="39"/>
      <c r="RKR35" s="39"/>
      <c r="RKS35" s="39"/>
      <c r="RKT35" s="39"/>
      <c r="RKU35" s="39"/>
      <c r="RKV35" s="39"/>
      <c r="RKW35" s="39"/>
      <c r="RKX35" s="39"/>
      <c r="RKY35" s="39"/>
      <c r="RKZ35" s="39"/>
      <c r="RLA35" s="39"/>
      <c r="RLB35" s="39"/>
      <c r="RLC35" s="39"/>
      <c r="RLD35" s="39"/>
      <c r="RLE35" s="39"/>
      <c r="RLF35" s="39"/>
      <c r="RLG35" s="39"/>
      <c r="RLH35" s="39"/>
      <c r="RLI35" s="39"/>
      <c r="RLJ35" s="39"/>
      <c r="RLK35" s="39"/>
      <c r="RLL35" s="39"/>
      <c r="RLM35" s="39"/>
      <c r="RLN35" s="39"/>
      <c r="RLO35" s="39"/>
      <c r="RLP35" s="39"/>
      <c r="RLQ35" s="39"/>
      <c r="RLR35" s="39"/>
      <c r="RLS35" s="39"/>
      <c r="RLT35" s="39"/>
      <c r="RLU35" s="39"/>
      <c r="RLV35" s="39"/>
      <c r="RLW35" s="39"/>
      <c r="RLX35" s="39"/>
      <c r="RLY35" s="39"/>
      <c r="RLZ35" s="39"/>
      <c r="RMA35" s="39"/>
      <c r="RMB35" s="39"/>
      <c r="RMC35" s="39"/>
      <c r="RMD35" s="39"/>
      <c r="RME35" s="39"/>
      <c r="RMF35" s="39"/>
      <c r="RMG35" s="39"/>
      <c r="RMH35" s="39"/>
      <c r="RMI35" s="39"/>
      <c r="RMJ35" s="39"/>
      <c r="RMK35" s="39"/>
      <c r="RML35" s="39"/>
      <c r="RMM35" s="39"/>
      <c r="RMN35" s="39"/>
      <c r="RMO35" s="39"/>
      <c r="RMP35" s="39"/>
      <c r="RMQ35" s="39"/>
      <c r="RMR35" s="39"/>
      <c r="RMS35" s="39"/>
      <c r="RMT35" s="39"/>
      <c r="RMU35" s="39"/>
      <c r="RMV35" s="39"/>
      <c r="RMW35" s="39"/>
      <c r="RMX35" s="39"/>
      <c r="RMY35" s="39"/>
      <c r="RMZ35" s="39"/>
      <c r="RNA35" s="39"/>
      <c r="RNB35" s="39"/>
      <c r="RNC35" s="39"/>
      <c r="RND35" s="39"/>
      <c r="RNE35" s="39"/>
      <c r="RNF35" s="39"/>
      <c r="RNG35" s="39"/>
      <c r="RNH35" s="39"/>
      <c r="RNI35" s="39"/>
      <c r="RNJ35" s="39"/>
      <c r="RNK35" s="39"/>
      <c r="RNL35" s="39"/>
      <c r="RNM35" s="39"/>
      <c r="RNN35" s="39"/>
      <c r="RNO35" s="39"/>
      <c r="RNP35" s="39"/>
      <c r="RNQ35" s="39"/>
      <c r="RNR35" s="39"/>
      <c r="RNS35" s="39"/>
      <c r="RNT35" s="39"/>
      <c r="RNU35" s="39"/>
      <c r="RNV35" s="39"/>
      <c r="RNW35" s="39"/>
      <c r="RNX35" s="39"/>
      <c r="RNY35" s="39"/>
      <c r="RNZ35" s="39"/>
      <c r="ROA35" s="39"/>
      <c r="ROB35" s="39"/>
      <c r="ROC35" s="39"/>
      <c r="ROD35" s="39"/>
      <c r="ROE35" s="39"/>
      <c r="ROF35" s="39"/>
      <c r="ROG35" s="39"/>
      <c r="ROH35" s="39"/>
      <c r="ROI35" s="39"/>
      <c r="ROJ35" s="39"/>
      <c r="ROK35" s="39"/>
      <c r="ROL35" s="39"/>
      <c r="ROM35" s="39"/>
      <c r="RON35" s="39"/>
      <c r="ROO35" s="39"/>
      <c r="ROP35" s="39"/>
      <c r="ROQ35" s="39"/>
      <c r="ROR35" s="39"/>
      <c r="ROS35" s="39"/>
      <c r="ROT35" s="39"/>
      <c r="ROU35" s="39"/>
      <c r="ROV35" s="39"/>
      <c r="ROW35" s="39"/>
      <c r="ROX35" s="39"/>
      <c r="ROY35" s="39"/>
      <c r="ROZ35" s="39"/>
      <c r="RPA35" s="39"/>
      <c r="RPB35" s="39"/>
      <c r="RPC35" s="39"/>
      <c r="RPD35" s="39"/>
      <c r="RPE35" s="39"/>
      <c r="RPF35" s="39"/>
      <c r="RPG35" s="39"/>
      <c r="RPH35" s="39"/>
      <c r="RPI35" s="39"/>
      <c r="RPJ35" s="39"/>
      <c r="RPK35" s="39"/>
      <c r="RPL35" s="39"/>
      <c r="RPM35" s="39"/>
      <c r="RPN35" s="39"/>
      <c r="RPO35" s="39"/>
      <c r="RPP35" s="39"/>
      <c r="RPQ35" s="39"/>
      <c r="RPR35" s="39"/>
      <c r="RPS35" s="39"/>
      <c r="RPT35" s="39"/>
      <c r="RPU35" s="39"/>
      <c r="RPV35" s="39"/>
      <c r="RPW35" s="39"/>
      <c r="RPX35" s="39"/>
      <c r="RPY35" s="39"/>
      <c r="RPZ35" s="39"/>
      <c r="RQA35" s="39"/>
      <c r="RQB35" s="39"/>
      <c r="RQC35" s="39"/>
      <c r="RQD35" s="39"/>
      <c r="RQE35" s="39"/>
      <c r="RQF35" s="39"/>
      <c r="RQG35" s="39"/>
      <c r="RQH35" s="39"/>
      <c r="RQI35" s="39"/>
      <c r="RQJ35" s="39"/>
      <c r="RQK35" s="39"/>
      <c r="RQL35" s="39"/>
      <c r="RQM35" s="39"/>
      <c r="RQN35" s="39"/>
      <c r="RQO35" s="39"/>
      <c r="RQP35" s="39"/>
      <c r="RQQ35" s="39"/>
      <c r="RQR35" s="39"/>
      <c r="RQS35" s="39"/>
      <c r="RQT35" s="39"/>
      <c r="RQU35" s="39"/>
      <c r="RQV35" s="39"/>
      <c r="RQW35" s="39"/>
      <c r="RQX35" s="39"/>
      <c r="RQY35" s="39"/>
      <c r="RQZ35" s="39"/>
      <c r="RRA35" s="39"/>
      <c r="RRB35" s="39"/>
      <c r="RRC35" s="39"/>
      <c r="RRD35" s="39"/>
      <c r="RRE35" s="39"/>
      <c r="RRF35" s="39"/>
      <c r="RRG35" s="39"/>
      <c r="RRH35" s="39"/>
      <c r="RRI35" s="39"/>
      <c r="RRJ35" s="39"/>
      <c r="RRK35" s="39"/>
      <c r="RRL35" s="39"/>
      <c r="RRM35" s="39"/>
      <c r="RRN35" s="39"/>
      <c r="RRO35" s="39"/>
      <c r="RRP35" s="39"/>
      <c r="RRQ35" s="39"/>
      <c r="RRR35" s="39"/>
      <c r="RRS35" s="39"/>
      <c r="RRT35" s="39"/>
      <c r="RRU35" s="39"/>
      <c r="RRV35" s="39"/>
      <c r="RRW35" s="39"/>
      <c r="RRX35" s="39"/>
      <c r="RRY35" s="39"/>
      <c r="RRZ35" s="39"/>
      <c r="RSA35" s="39"/>
      <c r="RSB35" s="39"/>
      <c r="RSC35" s="39"/>
      <c r="RSD35" s="39"/>
      <c r="RSE35" s="39"/>
      <c r="RSF35" s="39"/>
      <c r="RSG35" s="39"/>
      <c r="RSH35" s="39"/>
      <c r="RSI35" s="39"/>
      <c r="RSJ35" s="39"/>
      <c r="RSK35" s="39"/>
      <c r="RSL35" s="39"/>
      <c r="RSM35" s="39"/>
      <c r="RSN35" s="39"/>
      <c r="RSO35" s="39"/>
      <c r="RSP35" s="39"/>
      <c r="RSQ35" s="39"/>
      <c r="RSR35" s="39"/>
      <c r="RSS35" s="39"/>
      <c r="RST35" s="39"/>
      <c r="RSU35" s="39"/>
      <c r="RSV35" s="39"/>
      <c r="RSW35" s="39"/>
      <c r="RSX35" s="39"/>
      <c r="RSY35" s="39"/>
      <c r="RSZ35" s="39"/>
      <c r="RTA35" s="39"/>
      <c r="RTB35" s="39"/>
      <c r="RTC35" s="39"/>
      <c r="RTD35" s="39"/>
      <c r="RTE35" s="39"/>
      <c r="RTF35" s="39"/>
      <c r="RTG35" s="39"/>
      <c r="RTH35" s="39"/>
      <c r="RTI35" s="39"/>
      <c r="RTJ35" s="39"/>
      <c r="RTK35" s="39"/>
      <c r="RTL35" s="39"/>
      <c r="RTM35" s="39"/>
      <c r="RTN35" s="39"/>
      <c r="RTO35" s="39"/>
      <c r="RTP35" s="39"/>
      <c r="RTQ35" s="39"/>
      <c r="RTR35" s="39"/>
      <c r="RTS35" s="39"/>
      <c r="RTT35" s="39"/>
      <c r="RTU35" s="39"/>
      <c r="RTV35" s="39"/>
      <c r="RTW35" s="39"/>
      <c r="RTX35" s="39"/>
      <c r="RTY35" s="39"/>
      <c r="RTZ35" s="39"/>
      <c r="RUA35" s="39"/>
      <c r="RUB35" s="39"/>
      <c r="RUC35" s="39"/>
      <c r="RUD35" s="39"/>
      <c r="RUE35" s="39"/>
      <c r="RUF35" s="39"/>
      <c r="RUG35" s="39"/>
      <c r="RUH35" s="39"/>
      <c r="RUI35" s="39"/>
      <c r="RUJ35" s="39"/>
      <c r="RUK35" s="39"/>
      <c r="RUL35" s="39"/>
      <c r="RUM35" s="39"/>
      <c r="RUN35" s="39"/>
      <c r="RUO35" s="39"/>
      <c r="RUP35" s="39"/>
      <c r="RUQ35" s="39"/>
      <c r="RUR35" s="39"/>
      <c r="RUS35" s="39"/>
      <c r="RUT35" s="39"/>
      <c r="RUU35" s="39"/>
      <c r="RUV35" s="39"/>
      <c r="RUW35" s="39"/>
      <c r="RUX35" s="39"/>
      <c r="RUY35" s="39"/>
      <c r="RUZ35" s="39"/>
      <c r="RVA35" s="39"/>
      <c r="RVB35" s="39"/>
      <c r="RVC35" s="39"/>
      <c r="RVD35" s="39"/>
      <c r="RVE35" s="39"/>
      <c r="RVF35" s="39"/>
      <c r="RVG35" s="39"/>
      <c r="RVH35" s="39"/>
      <c r="RVI35" s="39"/>
      <c r="RVJ35" s="39"/>
      <c r="RVK35" s="39"/>
      <c r="RVL35" s="39"/>
      <c r="RVM35" s="39"/>
      <c r="RVN35" s="39"/>
      <c r="RVO35" s="39"/>
      <c r="RVP35" s="39"/>
      <c r="RVQ35" s="39"/>
      <c r="RVR35" s="39"/>
      <c r="RVS35" s="39"/>
      <c r="RVT35" s="39"/>
      <c r="RVU35" s="39"/>
      <c r="RVV35" s="39"/>
      <c r="RVW35" s="39"/>
      <c r="RVX35" s="39"/>
      <c r="RVY35" s="39"/>
      <c r="RVZ35" s="39"/>
      <c r="RWA35" s="39"/>
      <c r="RWB35" s="39"/>
      <c r="RWC35" s="39"/>
      <c r="RWD35" s="39"/>
      <c r="RWE35" s="39"/>
      <c r="RWF35" s="39"/>
      <c r="RWG35" s="39"/>
      <c r="RWH35" s="39"/>
      <c r="RWI35" s="39"/>
      <c r="RWJ35" s="39"/>
      <c r="RWK35" s="39"/>
      <c r="RWL35" s="39"/>
      <c r="RWM35" s="39"/>
      <c r="RWN35" s="39"/>
      <c r="RWO35" s="39"/>
      <c r="RWP35" s="39"/>
      <c r="RWQ35" s="39"/>
      <c r="RWR35" s="39"/>
      <c r="RWS35" s="39"/>
      <c r="RWT35" s="39"/>
      <c r="RWU35" s="39"/>
      <c r="RWV35" s="39"/>
      <c r="RWW35" s="39"/>
      <c r="RWX35" s="39"/>
      <c r="RWY35" s="39"/>
      <c r="RWZ35" s="39"/>
      <c r="RXA35" s="39"/>
      <c r="RXB35" s="39"/>
      <c r="RXC35" s="39"/>
      <c r="RXD35" s="39"/>
      <c r="RXE35" s="39"/>
      <c r="RXF35" s="39"/>
      <c r="RXG35" s="39"/>
      <c r="RXH35" s="39"/>
      <c r="RXI35" s="39"/>
      <c r="RXJ35" s="39"/>
      <c r="RXK35" s="39"/>
      <c r="RXL35" s="39"/>
      <c r="RXM35" s="39"/>
      <c r="RXN35" s="39"/>
      <c r="RXO35" s="39"/>
      <c r="RXP35" s="39"/>
      <c r="RXQ35" s="39"/>
      <c r="RXR35" s="39"/>
      <c r="RXS35" s="39"/>
      <c r="RXT35" s="39"/>
      <c r="RXU35" s="39"/>
      <c r="RXV35" s="39"/>
      <c r="RXW35" s="39"/>
      <c r="RXX35" s="39"/>
      <c r="RXY35" s="39"/>
      <c r="RXZ35" s="39"/>
      <c r="RYA35" s="39"/>
      <c r="RYB35" s="39"/>
      <c r="RYC35" s="39"/>
      <c r="RYD35" s="39"/>
      <c r="RYE35" s="39"/>
      <c r="RYF35" s="39"/>
      <c r="RYG35" s="39"/>
      <c r="RYH35" s="39"/>
      <c r="RYI35" s="39"/>
      <c r="RYJ35" s="39"/>
      <c r="RYK35" s="39"/>
      <c r="RYL35" s="39"/>
      <c r="RYM35" s="39"/>
      <c r="RYN35" s="39"/>
      <c r="RYO35" s="39"/>
      <c r="RYP35" s="39"/>
      <c r="RYQ35" s="39"/>
      <c r="RYR35" s="39"/>
      <c r="RYS35" s="39"/>
      <c r="RYT35" s="39"/>
      <c r="RYU35" s="39"/>
      <c r="RYV35" s="39"/>
      <c r="RYW35" s="39"/>
      <c r="RYX35" s="39"/>
      <c r="RYY35" s="39"/>
      <c r="RYZ35" s="39"/>
      <c r="RZA35" s="39"/>
      <c r="RZB35" s="39"/>
      <c r="RZC35" s="39"/>
      <c r="RZD35" s="39"/>
      <c r="RZE35" s="39"/>
      <c r="RZF35" s="39"/>
      <c r="RZG35" s="39"/>
      <c r="RZH35" s="39"/>
      <c r="RZI35" s="39"/>
      <c r="RZJ35" s="39"/>
      <c r="RZK35" s="39"/>
      <c r="RZL35" s="39"/>
      <c r="RZM35" s="39"/>
      <c r="RZN35" s="39"/>
      <c r="RZO35" s="39"/>
      <c r="RZP35" s="39"/>
      <c r="RZQ35" s="39"/>
      <c r="RZR35" s="39"/>
      <c r="RZS35" s="39"/>
      <c r="RZT35" s="39"/>
      <c r="RZU35" s="39"/>
      <c r="RZV35" s="39"/>
      <c r="RZW35" s="39"/>
      <c r="RZX35" s="39"/>
      <c r="RZY35" s="39"/>
      <c r="RZZ35" s="39"/>
      <c r="SAA35" s="39"/>
      <c r="SAB35" s="39"/>
      <c r="SAC35" s="39"/>
      <c r="SAD35" s="39"/>
      <c r="SAE35" s="39"/>
      <c r="SAF35" s="39"/>
      <c r="SAG35" s="39"/>
      <c r="SAH35" s="39"/>
      <c r="SAI35" s="39"/>
      <c r="SAJ35" s="39"/>
      <c r="SAK35" s="39"/>
      <c r="SAL35" s="39"/>
      <c r="SAM35" s="39"/>
      <c r="SAN35" s="39"/>
      <c r="SAO35" s="39"/>
      <c r="SAP35" s="39"/>
      <c r="SAQ35" s="39"/>
      <c r="SAR35" s="39"/>
      <c r="SAS35" s="39"/>
      <c r="SAT35" s="39"/>
      <c r="SAU35" s="39"/>
      <c r="SAV35" s="39"/>
      <c r="SAW35" s="39"/>
      <c r="SAX35" s="39"/>
      <c r="SAY35" s="39"/>
      <c r="SAZ35" s="39"/>
      <c r="SBA35" s="39"/>
      <c r="SBB35" s="39"/>
      <c r="SBC35" s="39"/>
      <c r="SBD35" s="39"/>
      <c r="SBE35" s="39"/>
      <c r="SBF35" s="39"/>
      <c r="SBG35" s="39"/>
      <c r="SBH35" s="39"/>
      <c r="SBI35" s="39"/>
      <c r="SBJ35" s="39"/>
      <c r="SBK35" s="39"/>
      <c r="SBL35" s="39"/>
      <c r="SBM35" s="39"/>
      <c r="SBN35" s="39"/>
      <c r="SBO35" s="39"/>
      <c r="SBP35" s="39"/>
      <c r="SBQ35" s="39"/>
      <c r="SBR35" s="39"/>
      <c r="SBS35" s="39"/>
      <c r="SBT35" s="39"/>
      <c r="SBU35" s="39"/>
      <c r="SBV35" s="39"/>
      <c r="SBW35" s="39"/>
      <c r="SBX35" s="39"/>
      <c r="SBY35" s="39"/>
      <c r="SBZ35" s="39"/>
      <c r="SCA35" s="39"/>
      <c r="SCB35" s="39"/>
      <c r="SCC35" s="39"/>
      <c r="SCD35" s="39"/>
      <c r="SCE35" s="39"/>
      <c r="SCF35" s="39"/>
      <c r="SCG35" s="39"/>
      <c r="SCH35" s="39"/>
      <c r="SCI35" s="39"/>
      <c r="SCJ35" s="39"/>
      <c r="SCK35" s="39"/>
      <c r="SCL35" s="39"/>
      <c r="SCM35" s="39"/>
      <c r="SCN35" s="39"/>
      <c r="SCO35" s="39"/>
      <c r="SCP35" s="39"/>
      <c r="SCQ35" s="39"/>
      <c r="SCR35" s="39"/>
      <c r="SCS35" s="39"/>
      <c r="SCT35" s="39"/>
      <c r="SCU35" s="39"/>
      <c r="SCV35" s="39"/>
      <c r="SCW35" s="39"/>
      <c r="SCX35" s="39"/>
      <c r="SCY35" s="39"/>
      <c r="SCZ35" s="39"/>
      <c r="SDA35" s="39"/>
      <c r="SDB35" s="39"/>
      <c r="SDC35" s="39"/>
      <c r="SDD35" s="39"/>
      <c r="SDE35" s="39"/>
      <c r="SDF35" s="39"/>
      <c r="SDG35" s="39"/>
      <c r="SDH35" s="39"/>
      <c r="SDI35" s="39"/>
      <c r="SDJ35" s="39"/>
      <c r="SDK35" s="39"/>
      <c r="SDL35" s="39"/>
      <c r="SDM35" s="39"/>
      <c r="SDN35" s="39"/>
      <c r="SDO35" s="39"/>
      <c r="SDP35" s="39"/>
      <c r="SDQ35" s="39"/>
      <c r="SDR35" s="39"/>
      <c r="SDS35" s="39"/>
      <c r="SDT35" s="39"/>
      <c r="SDU35" s="39"/>
      <c r="SDV35" s="39"/>
      <c r="SDW35" s="39"/>
      <c r="SDX35" s="39"/>
      <c r="SDY35" s="39"/>
      <c r="SDZ35" s="39"/>
      <c r="SEA35" s="39"/>
      <c r="SEB35" s="39"/>
      <c r="SEC35" s="39"/>
      <c r="SED35" s="39"/>
      <c r="SEE35" s="39"/>
      <c r="SEF35" s="39"/>
      <c r="SEG35" s="39"/>
      <c r="SEH35" s="39"/>
      <c r="SEI35" s="39"/>
      <c r="SEJ35" s="39"/>
      <c r="SEK35" s="39"/>
      <c r="SEL35" s="39"/>
      <c r="SEM35" s="39"/>
      <c r="SEN35" s="39"/>
      <c r="SEO35" s="39"/>
      <c r="SEP35" s="39"/>
      <c r="SEQ35" s="39"/>
      <c r="SER35" s="39"/>
      <c r="SES35" s="39"/>
      <c r="SET35" s="39"/>
      <c r="SEU35" s="39"/>
      <c r="SEV35" s="39"/>
      <c r="SEW35" s="39"/>
      <c r="SEX35" s="39"/>
      <c r="SEY35" s="39"/>
      <c r="SEZ35" s="39"/>
      <c r="SFA35" s="39"/>
      <c r="SFB35" s="39"/>
      <c r="SFC35" s="39"/>
      <c r="SFD35" s="39"/>
      <c r="SFE35" s="39"/>
      <c r="SFF35" s="39"/>
      <c r="SFG35" s="39"/>
      <c r="SFH35" s="39"/>
      <c r="SFI35" s="39"/>
      <c r="SFJ35" s="39"/>
      <c r="SFK35" s="39"/>
      <c r="SFL35" s="39"/>
      <c r="SFM35" s="39"/>
      <c r="SFN35" s="39"/>
      <c r="SFO35" s="39"/>
      <c r="SFP35" s="39"/>
      <c r="SFQ35" s="39"/>
      <c r="SFR35" s="39"/>
      <c r="SFS35" s="39"/>
      <c r="SFT35" s="39"/>
      <c r="SFU35" s="39"/>
      <c r="SFV35" s="39"/>
      <c r="SFW35" s="39"/>
      <c r="SFX35" s="39"/>
      <c r="SFY35" s="39"/>
      <c r="SFZ35" s="39"/>
      <c r="SGA35" s="39"/>
      <c r="SGB35" s="39"/>
      <c r="SGC35" s="39"/>
      <c r="SGD35" s="39"/>
      <c r="SGE35" s="39"/>
      <c r="SGF35" s="39"/>
      <c r="SGG35" s="39"/>
      <c r="SGH35" s="39"/>
      <c r="SGI35" s="39"/>
      <c r="SGJ35" s="39"/>
      <c r="SGK35" s="39"/>
      <c r="SGL35" s="39"/>
      <c r="SGM35" s="39"/>
      <c r="SGN35" s="39"/>
      <c r="SGO35" s="39"/>
      <c r="SGP35" s="39"/>
      <c r="SGQ35" s="39"/>
      <c r="SGR35" s="39"/>
      <c r="SGS35" s="39"/>
      <c r="SGT35" s="39"/>
      <c r="SGU35" s="39"/>
      <c r="SGV35" s="39"/>
      <c r="SGW35" s="39"/>
      <c r="SGX35" s="39"/>
      <c r="SGY35" s="39"/>
      <c r="SGZ35" s="39"/>
      <c r="SHA35" s="39"/>
      <c r="SHB35" s="39"/>
      <c r="SHC35" s="39"/>
      <c r="SHD35" s="39"/>
      <c r="SHE35" s="39"/>
      <c r="SHF35" s="39"/>
      <c r="SHG35" s="39"/>
      <c r="SHH35" s="39"/>
      <c r="SHI35" s="39"/>
      <c r="SHJ35" s="39"/>
      <c r="SHK35" s="39"/>
      <c r="SHL35" s="39"/>
      <c r="SHM35" s="39"/>
      <c r="SHN35" s="39"/>
      <c r="SHO35" s="39"/>
      <c r="SHP35" s="39"/>
      <c r="SHQ35" s="39"/>
      <c r="SHR35" s="39"/>
      <c r="SHS35" s="39"/>
      <c r="SHT35" s="39"/>
      <c r="SHU35" s="39"/>
      <c r="SHV35" s="39"/>
      <c r="SHW35" s="39"/>
      <c r="SHX35" s="39"/>
      <c r="SHY35" s="39"/>
      <c r="SHZ35" s="39"/>
      <c r="SIA35" s="39"/>
      <c r="SIB35" s="39"/>
      <c r="SIC35" s="39"/>
      <c r="SID35" s="39"/>
      <c r="SIE35" s="39"/>
      <c r="SIF35" s="39"/>
      <c r="SIG35" s="39"/>
      <c r="SIH35" s="39"/>
      <c r="SII35" s="39"/>
      <c r="SIJ35" s="39"/>
      <c r="SIK35" s="39"/>
      <c r="SIL35" s="39"/>
      <c r="SIM35" s="39"/>
      <c r="SIN35" s="39"/>
      <c r="SIO35" s="39"/>
      <c r="SIP35" s="39"/>
      <c r="SIQ35" s="39"/>
      <c r="SIR35" s="39"/>
      <c r="SIS35" s="39"/>
      <c r="SIT35" s="39"/>
      <c r="SIU35" s="39"/>
      <c r="SIV35" s="39"/>
      <c r="SIW35" s="39"/>
      <c r="SIX35" s="39"/>
      <c r="SIY35" s="39"/>
      <c r="SIZ35" s="39"/>
      <c r="SJA35" s="39"/>
      <c r="SJB35" s="39"/>
      <c r="SJC35" s="39"/>
      <c r="SJD35" s="39"/>
      <c r="SJE35" s="39"/>
      <c r="SJF35" s="39"/>
      <c r="SJG35" s="39"/>
      <c r="SJH35" s="39"/>
      <c r="SJI35" s="39"/>
      <c r="SJJ35" s="39"/>
      <c r="SJK35" s="39"/>
      <c r="SJL35" s="39"/>
      <c r="SJM35" s="39"/>
      <c r="SJN35" s="39"/>
      <c r="SJO35" s="39"/>
      <c r="SJP35" s="39"/>
      <c r="SJQ35" s="39"/>
      <c r="SJR35" s="39"/>
      <c r="SJS35" s="39"/>
      <c r="SJT35" s="39"/>
      <c r="SJU35" s="39"/>
      <c r="SJV35" s="39"/>
      <c r="SJW35" s="39"/>
      <c r="SJX35" s="39"/>
      <c r="SJY35" s="39"/>
      <c r="SJZ35" s="39"/>
      <c r="SKA35" s="39"/>
      <c r="SKB35" s="39"/>
      <c r="SKC35" s="39"/>
      <c r="SKD35" s="39"/>
      <c r="SKE35" s="39"/>
      <c r="SKF35" s="39"/>
      <c r="SKG35" s="39"/>
      <c r="SKH35" s="39"/>
      <c r="SKI35" s="39"/>
      <c r="SKJ35" s="39"/>
      <c r="SKK35" s="39"/>
      <c r="SKL35" s="39"/>
      <c r="SKM35" s="39"/>
      <c r="SKN35" s="39"/>
      <c r="SKO35" s="39"/>
      <c r="SKP35" s="39"/>
      <c r="SKQ35" s="39"/>
      <c r="SKR35" s="39"/>
      <c r="SKS35" s="39"/>
      <c r="SKT35" s="39"/>
      <c r="SKU35" s="39"/>
      <c r="SKV35" s="39"/>
      <c r="SKW35" s="39"/>
      <c r="SKX35" s="39"/>
      <c r="SKY35" s="39"/>
      <c r="SKZ35" s="39"/>
      <c r="SLA35" s="39"/>
      <c r="SLB35" s="39"/>
      <c r="SLC35" s="39"/>
      <c r="SLD35" s="39"/>
      <c r="SLE35" s="39"/>
      <c r="SLF35" s="39"/>
      <c r="SLG35" s="39"/>
      <c r="SLH35" s="39"/>
      <c r="SLI35" s="39"/>
      <c r="SLJ35" s="39"/>
      <c r="SLK35" s="39"/>
      <c r="SLL35" s="39"/>
      <c r="SLM35" s="39"/>
      <c r="SLN35" s="39"/>
      <c r="SLO35" s="39"/>
      <c r="SLP35" s="39"/>
      <c r="SLQ35" s="39"/>
      <c r="SLR35" s="39"/>
      <c r="SLS35" s="39"/>
      <c r="SLT35" s="39"/>
      <c r="SLU35" s="39"/>
      <c r="SLV35" s="39"/>
      <c r="SLW35" s="39"/>
      <c r="SLX35" s="39"/>
      <c r="SLY35" s="39"/>
      <c r="SLZ35" s="39"/>
      <c r="SMA35" s="39"/>
      <c r="SMB35" s="39"/>
      <c r="SMC35" s="39"/>
      <c r="SMD35" s="39"/>
      <c r="SME35" s="39"/>
      <c r="SMF35" s="39"/>
      <c r="SMG35" s="39"/>
      <c r="SMH35" s="39"/>
      <c r="SMI35" s="39"/>
      <c r="SMJ35" s="39"/>
      <c r="SMK35" s="39"/>
      <c r="SML35" s="39"/>
      <c r="SMM35" s="39"/>
      <c r="SMN35" s="39"/>
      <c r="SMO35" s="39"/>
      <c r="SMP35" s="39"/>
      <c r="SMQ35" s="39"/>
      <c r="SMR35" s="39"/>
      <c r="SMS35" s="39"/>
      <c r="SMT35" s="39"/>
      <c r="SMU35" s="39"/>
      <c r="SMV35" s="39"/>
      <c r="SMW35" s="39"/>
      <c r="SMX35" s="39"/>
      <c r="SMY35" s="39"/>
      <c r="SMZ35" s="39"/>
      <c r="SNA35" s="39"/>
      <c r="SNB35" s="39"/>
      <c r="SNC35" s="39"/>
      <c r="SND35" s="39"/>
      <c r="SNE35" s="39"/>
      <c r="SNF35" s="39"/>
      <c r="SNG35" s="39"/>
      <c r="SNH35" s="39"/>
      <c r="SNI35" s="39"/>
      <c r="SNJ35" s="39"/>
      <c r="SNK35" s="39"/>
      <c r="SNL35" s="39"/>
      <c r="SNM35" s="39"/>
      <c r="SNN35" s="39"/>
      <c r="SNO35" s="39"/>
      <c r="SNP35" s="39"/>
      <c r="SNQ35" s="39"/>
      <c r="SNR35" s="39"/>
      <c r="SNS35" s="39"/>
      <c r="SNT35" s="39"/>
      <c r="SNU35" s="39"/>
      <c r="SNV35" s="39"/>
      <c r="SNW35" s="39"/>
      <c r="SNX35" s="39"/>
      <c r="SNY35" s="39"/>
      <c r="SNZ35" s="39"/>
      <c r="SOA35" s="39"/>
      <c r="SOB35" s="39"/>
      <c r="SOC35" s="39"/>
      <c r="SOD35" s="39"/>
      <c r="SOE35" s="39"/>
      <c r="SOF35" s="39"/>
      <c r="SOG35" s="39"/>
      <c r="SOH35" s="39"/>
      <c r="SOI35" s="39"/>
      <c r="SOJ35" s="39"/>
      <c r="SOK35" s="39"/>
      <c r="SOL35" s="39"/>
      <c r="SOM35" s="39"/>
      <c r="SON35" s="39"/>
      <c r="SOO35" s="39"/>
      <c r="SOP35" s="39"/>
      <c r="SOQ35" s="39"/>
      <c r="SOR35" s="39"/>
      <c r="SOS35" s="39"/>
      <c r="SOT35" s="39"/>
      <c r="SOU35" s="39"/>
      <c r="SOV35" s="39"/>
      <c r="SOW35" s="39"/>
      <c r="SOX35" s="39"/>
      <c r="SOY35" s="39"/>
      <c r="SOZ35" s="39"/>
      <c r="SPA35" s="39"/>
      <c r="SPB35" s="39"/>
      <c r="SPC35" s="39"/>
      <c r="SPD35" s="39"/>
      <c r="SPE35" s="39"/>
      <c r="SPF35" s="39"/>
      <c r="SPG35" s="39"/>
      <c r="SPH35" s="39"/>
      <c r="SPI35" s="39"/>
      <c r="SPJ35" s="39"/>
      <c r="SPK35" s="39"/>
      <c r="SPL35" s="39"/>
      <c r="SPM35" s="39"/>
      <c r="SPN35" s="39"/>
      <c r="SPO35" s="39"/>
      <c r="SPP35" s="39"/>
      <c r="SPQ35" s="39"/>
      <c r="SPR35" s="39"/>
      <c r="SPS35" s="39"/>
      <c r="SPT35" s="39"/>
      <c r="SPU35" s="39"/>
      <c r="SPV35" s="39"/>
      <c r="SPW35" s="39"/>
      <c r="SPX35" s="39"/>
      <c r="SPY35" s="39"/>
      <c r="SPZ35" s="39"/>
      <c r="SQA35" s="39"/>
      <c r="SQB35" s="39"/>
      <c r="SQC35" s="39"/>
      <c r="SQD35" s="39"/>
      <c r="SQE35" s="39"/>
      <c r="SQF35" s="39"/>
      <c r="SQG35" s="39"/>
      <c r="SQH35" s="39"/>
      <c r="SQI35" s="39"/>
      <c r="SQJ35" s="39"/>
      <c r="SQK35" s="39"/>
      <c r="SQL35" s="39"/>
      <c r="SQM35" s="39"/>
      <c r="SQN35" s="39"/>
      <c r="SQO35" s="39"/>
      <c r="SQP35" s="39"/>
      <c r="SQQ35" s="39"/>
      <c r="SQR35" s="39"/>
      <c r="SQS35" s="39"/>
      <c r="SQT35" s="39"/>
      <c r="SQU35" s="39"/>
      <c r="SQV35" s="39"/>
      <c r="SQW35" s="39"/>
      <c r="SQX35" s="39"/>
      <c r="SQY35" s="39"/>
      <c r="SQZ35" s="39"/>
      <c r="SRA35" s="39"/>
      <c r="SRB35" s="39"/>
      <c r="SRC35" s="39"/>
      <c r="SRD35" s="39"/>
      <c r="SRE35" s="39"/>
      <c r="SRF35" s="39"/>
      <c r="SRG35" s="39"/>
      <c r="SRH35" s="39"/>
      <c r="SRI35" s="39"/>
      <c r="SRJ35" s="39"/>
      <c r="SRK35" s="39"/>
      <c r="SRL35" s="39"/>
      <c r="SRM35" s="39"/>
      <c r="SRN35" s="39"/>
      <c r="SRO35" s="39"/>
      <c r="SRP35" s="39"/>
      <c r="SRQ35" s="39"/>
      <c r="SRR35" s="39"/>
      <c r="SRS35" s="39"/>
      <c r="SRT35" s="39"/>
      <c r="SRU35" s="39"/>
      <c r="SRV35" s="39"/>
      <c r="SRW35" s="39"/>
      <c r="SRX35" s="39"/>
      <c r="SRY35" s="39"/>
      <c r="SRZ35" s="39"/>
      <c r="SSA35" s="39"/>
      <c r="SSB35" s="39"/>
      <c r="SSC35" s="39"/>
      <c r="SSD35" s="39"/>
      <c r="SSE35" s="39"/>
      <c r="SSF35" s="39"/>
      <c r="SSG35" s="39"/>
      <c r="SSH35" s="39"/>
      <c r="SSI35" s="39"/>
      <c r="SSJ35" s="39"/>
      <c r="SSK35" s="39"/>
      <c r="SSL35" s="39"/>
      <c r="SSM35" s="39"/>
      <c r="SSN35" s="39"/>
      <c r="SSO35" s="39"/>
      <c r="SSP35" s="39"/>
      <c r="SSQ35" s="39"/>
      <c r="SSR35" s="39"/>
      <c r="SSS35" s="39"/>
      <c r="SST35" s="39"/>
      <c r="SSU35" s="39"/>
      <c r="SSV35" s="39"/>
      <c r="SSW35" s="39"/>
      <c r="SSX35" s="39"/>
      <c r="SSY35" s="39"/>
      <c r="SSZ35" s="39"/>
      <c r="STA35" s="39"/>
      <c r="STB35" s="39"/>
      <c r="STC35" s="39"/>
      <c r="STD35" s="39"/>
      <c r="STE35" s="39"/>
      <c r="STF35" s="39"/>
      <c r="STG35" s="39"/>
      <c r="STH35" s="39"/>
      <c r="STI35" s="39"/>
      <c r="STJ35" s="39"/>
      <c r="STK35" s="39"/>
      <c r="STL35" s="39"/>
      <c r="STM35" s="39"/>
      <c r="STN35" s="39"/>
      <c r="STO35" s="39"/>
      <c r="STP35" s="39"/>
      <c r="STQ35" s="39"/>
      <c r="STR35" s="39"/>
      <c r="STS35" s="39"/>
      <c r="STT35" s="39"/>
      <c r="STU35" s="39"/>
      <c r="STV35" s="39"/>
      <c r="STW35" s="39"/>
      <c r="STX35" s="39"/>
      <c r="STY35" s="39"/>
      <c r="STZ35" s="39"/>
      <c r="SUA35" s="39"/>
      <c r="SUB35" s="39"/>
      <c r="SUC35" s="39"/>
      <c r="SUD35" s="39"/>
      <c r="SUE35" s="39"/>
      <c r="SUF35" s="39"/>
      <c r="SUG35" s="39"/>
      <c r="SUH35" s="39"/>
      <c r="SUI35" s="39"/>
      <c r="SUJ35" s="39"/>
      <c r="SUK35" s="39"/>
      <c r="SUL35" s="39"/>
      <c r="SUM35" s="39"/>
      <c r="SUN35" s="39"/>
      <c r="SUO35" s="39"/>
      <c r="SUP35" s="39"/>
      <c r="SUQ35" s="39"/>
      <c r="SUR35" s="39"/>
      <c r="SUS35" s="39"/>
      <c r="SUT35" s="39"/>
      <c r="SUU35" s="39"/>
      <c r="SUV35" s="39"/>
      <c r="SUW35" s="39"/>
      <c r="SUX35" s="39"/>
      <c r="SUY35" s="39"/>
      <c r="SUZ35" s="39"/>
      <c r="SVA35" s="39"/>
      <c r="SVB35" s="39"/>
      <c r="SVC35" s="39"/>
      <c r="SVD35" s="39"/>
      <c r="SVE35" s="39"/>
      <c r="SVF35" s="39"/>
      <c r="SVG35" s="39"/>
      <c r="SVH35" s="39"/>
      <c r="SVI35" s="39"/>
      <c r="SVJ35" s="39"/>
      <c r="SVK35" s="39"/>
      <c r="SVL35" s="39"/>
      <c r="SVM35" s="39"/>
      <c r="SVN35" s="39"/>
      <c r="SVO35" s="39"/>
      <c r="SVP35" s="39"/>
      <c r="SVQ35" s="39"/>
      <c r="SVR35" s="39"/>
      <c r="SVS35" s="39"/>
      <c r="SVT35" s="39"/>
      <c r="SVU35" s="39"/>
      <c r="SVV35" s="39"/>
      <c r="SVW35" s="39"/>
      <c r="SVX35" s="39"/>
      <c r="SVY35" s="39"/>
      <c r="SVZ35" s="39"/>
      <c r="SWA35" s="39"/>
      <c r="SWB35" s="39"/>
      <c r="SWC35" s="39"/>
      <c r="SWD35" s="39"/>
      <c r="SWE35" s="39"/>
      <c r="SWF35" s="39"/>
      <c r="SWG35" s="39"/>
      <c r="SWH35" s="39"/>
      <c r="SWI35" s="39"/>
      <c r="SWJ35" s="39"/>
      <c r="SWK35" s="39"/>
      <c r="SWL35" s="39"/>
      <c r="SWM35" s="39"/>
      <c r="SWN35" s="39"/>
      <c r="SWO35" s="39"/>
      <c r="SWP35" s="39"/>
      <c r="SWQ35" s="39"/>
      <c r="SWR35" s="39"/>
      <c r="SWS35" s="39"/>
      <c r="SWT35" s="39"/>
      <c r="SWU35" s="39"/>
      <c r="SWV35" s="39"/>
      <c r="SWW35" s="39"/>
      <c r="SWX35" s="39"/>
      <c r="SWY35" s="39"/>
      <c r="SWZ35" s="39"/>
      <c r="SXA35" s="39"/>
      <c r="SXB35" s="39"/>
      <c r="SXC35" s="39"/>
      <c r="SXD35" s="39"/>
      <c r="SXE35" s="39"/>
      <c r="SXF35" s="39"/>
      <c r="SXG35" s="39"/>
      <c r="SXH35" s="39"/>
      <c r="SXI35" s="39"/>
      <c r="SXJ35" s="39"/>
      <c r="SXK35" s="39"/>
      <c r="SXL35" s="39"/>
      <c r="SXM35" s="39"/>
      <c r="SXN35" s="39"/>
      <c r="SXO35" s="39"/>
      <c r="SXP35" s="39"/>
      <c r="SXQ35" s="39"/>
      <c r="SXR35" s="39"/>
      <c r="SXS35" s="39"/>
      <c r="SXT35" s="39"/>
      <c r="SXU35" s="39"/>
      <c r="SXV35" s="39"/>
      <c r="SXW35" s="39"/>
      <c r="SXX35" s="39"/>
      <c r="SXY35" s="39"/>
      <c r="SXZ35" s="39"/>
      <c r="SYA35" s="39"/>
      <c r="SYB35" s="39"/>
      <c r="SYC35" s="39"/>
      <c r="SYD35" s="39"/>
      <c r="SYE35" s="39"/>
      <c r="SYF35" s="39"/>
      <c r="SYG35" s="39"/>
      <c r="SYH35" s="39"/>
      <c r="SYI35" s="39"/>
      <c r="SYJ35" s="39"/>
      <c r="SYK35" s="39"/>
      <c r="SYL35" s="39"/>
      <c r="SYM35" s="39"/>
      <c r="SYN35" s="39"/>
      <c r="SYO35" s="39"/>
      <c r="SYP35" s="39"/>
      <c r="SYQ35" s="39"/>
      <c r="SYR35" s="39"/>
      <c r="SYS35" s="39"/>
      <c r="SYT35" s="39"/>
      <c r="SYU35" s="39"/>
      <c r="SYV35" s="39"/>
      <c r="SYW35" s="39"/>
      <c r="SYX35" s="39"/>
      <c r="SYY35" s="39"/>
      <c r="SYZ35" s="39"/>
      <c r="SZA35" s="39"/>
      <c r="SZB35" s="39"/>
      <c r="SZC35" s="39"/>
      <c r="SZD35" s="39"/>
      <c r="SZE35" s="39"/>
      <c r="SZF35" s="39"/>
      <c r="SZG35" s="39"/>
      <c r="SZH35" s="39"/>
      <c r="SZI35" s="39"/>
      <c r="SZJ35" s="39"/>
      <c r="SZK35" s="39"/>
      <c r="SZL35" s="39"/>
      <c r="SZM35" s="39"/>
      <c r="SZN35" s="39"/>
      <c r="SZO35" s="39"/>
      <c r="SZP35" s="39"/>
      <c r="SZQ35" s="39"/>
      <c r="SZR35" s="39"/>
      <c r="SZS35" s="39"/>
      <c r="SZT35" s="39"/>
      <c r="SZU35" s="39"/>
      <c r="SZV35" s="39"/>
      <c r="SZW35" s="39"/>
      <c r="SZX35" s="39"/>
      <c r="SZY35" s="39"/>
      <c r="SZZ35" s="39"/>
      <c r="TAA35" s="39"/>
      <c r="TAB35" s="39"/>
      <c r="TAC35" s="39"/>
      <c r="TAD35" s="39"/>
      <c r="TAE35" s="39"/>
      <c r="TAF35" s="39"/>
      <c r="TAG35" s="39"/>
      <c r="TAH35" s="39"/>
      <c r="TAI35" s="39"/>
      <c r="TAJ35" s="39"/>
      <c r="TAK35" s="39"/>
      <c r="TAL35" s="39"/>
      <c r="TAM35" s="39"/>
      <c r="TAN35" s="39"/>
      <c r="TAO35" s="39"/>
      <c r="TAP35" s="39"/>
      <c r="TAQ35" s="39"/>
      <c r="TAR35" s="39"/>
      <c r="TAS35" s="39"/>
      <c r="TAT35" s="39"/>
      <c r="TAU35" s="39"/>
      <c r="TAV35" s="39"/>
      <c r="TAW35" s="39"/>
      <c r="TAX35" s="39"/>
      <c r="TAY35" s="39"/>
      <c r="TAZ35" s="39"/>
      <c r="TBA35" s="39"/>
      <c r="TBB35" s="39"/>
      <c r="TBC35" s="39"/>
      <c r="TBD35" s="39"/>
      <c r="TBE35" s="39"/>
      <c r="TBF35" s="39"/>
      <c r="TBG35" s="39"/>
      <c r="TBH35" s="39"/>
      <c r="TBI35" s="39"/>
      <c r="TBJ35" s="39"/>
      <c r="TBK35" s="39"/>
      <c r="TBL35" s="39"/>
      <c r="TBM35" s="39"/>
      <c r="TBN35" s="39"/>
      <c r="TBO35" s="39"/>
      <c r="TBP35" s="39"/>
      <c r="TBQ35" s="39"/>
      <c r="TBR35" s="39"/>
      <c r="TBS35" s="39"/>
      <c r="TBT35" s="39"/>
      <c r="TBU35" s="39"/>
      <c r="TBV35" s="39"/>
      <c r="TBW35" s="39"/>
      <c r="TBX35" s="39"/>
      <c r="TBY35" s="39"/>
      <c r="TBZ35" s="39"/>
      <c r="TCA35" s="39"/>
      <c r="TCB35" s="39"/>
      <c r="TCC35" s="39"/>
      <c r="TCD35" s="39"/>
      <c r="TCE35" s="39"/>
      <c r="TCF35" s="39"/>
      <c r="TCG35" s="39"/>
      <c r="TCH35" s="39"/>
      <c r="TCI35" s="39"/>
      <c r="TCJ35" s="39"/>
      <c r="TCK35" s="39"/>
      <c r="TCL35" s="39"/>
      <c r="TCM35" s="39"/>
      <c r="TCN35" s="39"/>
      <c r="TCO35" s="39"/>
      <c r="TCP35" s="39"/>
      <c r="TCQ35" s="39"/>
      <c r="TCR35" s="39"/>
      <c r="TCS35" s="39"/>
      <c r="TCT35" s="39"/>
      <c r="TCU35" s="39"/>
      <c r="TCV35" s="39"/>
      <c r="TCW35" s="39"/>
      <c r="TCX35" s="39"/>
      <c r="TCY35" s="39"/>
      <c r="TCZ35" s="39"/>
      <c r="TDA35" s="39"/>
      <c r="TDB35" s="39"/>
      <c r="TDC35" s="39"/>
      <c r="TDD35" s="39"/>
      <c r="TDE35" s="39"/>
      <c r="TDF35" s="39"/>
      <c r="TDG35" s="39"/>
      <c r="TDH35" s="39"/>
      <c r="TDI35" s="39"/>
      <c r="TDJ35" s="39"/>
      <c r="TDK35" s="39"/>
      <c r="TDL35" s="39"/>
      <c r="TDM35" s="39"/>
      <c r="TDN35" s="39"/>
      <c r="TDO35" s="39"/>
      <c r="TDP35" s="39"/>
      <c r="TDQ35" s="39"/>
      <c r="TDR35" s="39"/>
      <c r="TDS35" s="39"/>
      <c r="TDT35" s="39"/>
      <c r="TDU35" s="39"/>
      <c r="TDV35" s="39"/>
      <c r="TDW35" s="39"/>
      <c r="TDX35" s="39"/>
      <c r="TDY35" s="39"/>
      <c r="TDZ35" s="39"/>
      <c r="TEA35" s="39"/>
      <c r="TEB35" s="39"/>
      <c r="TEC35" s="39"/>
      <c r="TED35" s="39"/>
      <c r="TEE35" s="39"/>
      <c r="TEF35" s="39"/>
      <c r="TEG35" s="39"/>
      <c r="TEH35" s="39"/>
      <c r="TEI35" s="39"/>
      <c r="TEJ35" s="39"/>
      <c r="TEK35" s="39"/>
      <c r="TEL35" s="39"/>
      <c r="TEM35" s="39"/>
      <c r="TEN35" s="39"/>
      <c r="TEO35" s="39"/>
      <c r="TEP35" s="39"/>
      <c r="TEQ35" s="39"/>
      <c r="TER35" s="39"/>
      <c r="TES35" s="39"/>
      <c r="TET35" s="39"/>
      <c r="TEU35" s="39"/>
      <c r="TEV35" s="39"/>
      <c r="TEW35" s="39"/>
      <c r="TEX35" s="39"/>
      <c r="TEY35" s="39"/>
      <c r="TEZ35" s="39"/>
      <c r="TFA35" s="39"/>
      <c r="TFB35" s="39"/>
      <c r="TFC35" s="39"/>
      <c r="TFD35" s="39"/>
      <c r="TFE35" s="39"/>
      <c r="TFF35" s="39"/>
      <c r="TFG35" s="39"/>
      <c r="TFH35" s="39"/>
      <c r="TFI35" s="39"/>
      <c r="TFJ35" s="39"/>
      <c r="TFK35" s="39"/>
      <c r="TFL35" s="39"/>
      <c r="TFM35" s="39"/>
      <c r="TFN35" s="39"/>
      <c r="TFO35" s="39"/>
      <c r="TFP35" s="39"/>
      <c r="TFQ35" s="39"/>
      <c r="TFR35" s="39"/>
      <c r="TFS35" s="39"/>
      <c r="TFT35" s="39"/>
      <c r="TFU35" s="39"/>
      <c r="TFV35" s="39"/>
      <c r="TFW35" s="39"/>
      <c r="TFX35" s="39"/>
      <c r="TFY35" s="39"/>
      <c r="TFZ35" s="39"/>
      <c r="TGA35" s="39"/>
      <c r="TGB35" s="39"/>
      <c r="TGC35" s="39"/>
      <c r="TGD35" s="39"/>
      <c r="TGE35" s="39"/>
      <c r="TGF35" s="39"/>
      <c r="TGG35" s="39"/>
      <c r="TGH35" s="39"/>
      <c r="TGI35" s="39"/>
      <c r="TGJ35" s="39"/>
      <c r="TGK35" s="39"/>
      <c r="TGL35" s="39"/>
      <c r="TGM35" s="39"/>
      <c r="TGN35" s="39"/>
      <c r="TGO35" s="39"/>
      <c r="TGP35" s="39"/>
      <c r="TGQ35" s="39"/>
      <c r="TGR35" s="39"/>
      <c r="TGS35" s="39"/>
      <c r="TGT35" s="39"/>
      <c r="TGU35" s="39"/>
      <c r="TGV35" s="39"/>
      <c r="TGW35" s="39"/>
      <c r="TGX35" s="39"/>
      <c r="TGY35" s="39"/>
      <c r="TGZ35" s="39"/>
      <c r="THA35" s="39"/>
      <c r="THB35" s="39"/>
      <c r="THC35" s="39"/>
      <c r="THD35" s="39"/>
      <c r="THE35" s="39"/>
      <c r="THF35" s="39"/>
      <c r="THG35" s="39"/>
      <c r="THH35" s="39"/>
      <c r="THI35" s="39"/>
      <c r="THJ35" s="39"/>
      <c r="THK35" s="39"/>
      <c r="THL35" s="39"/>
      <c r="THM35" s="39"/>
      <c r="THN35" s="39"/>
      <c r="THO35" s="39"/>
      <c r="THP35" s="39"/>
      <c r="THQ35" s="39"/>
      <c r="THR35" s="39"/>
      <c r="THS35" s="39"/>
      <c r="THT35" s="39"/>
      <c r="THU35" s="39"/>
      <c r="THV35" s="39"/>
      <c r="THW35" s="39"/>
      <c r="THX35" s="39"/>
      <c r="THY35" s="39"/>
      <c r="THZ35" s="39"/>
      <c r="TIA35" s="39"/>
      <c r="TIB35" s="39"/>
      <c r="TIC35" s="39"/>
      <c r="TID35" s="39"/>
      <c r="TIE35" s="39"/>
      <c r="TIF35" s="39"/>
      <c r="TIG35" s="39"/>
      <c r="TIH35" s="39"/>
      <c r="TII35" s="39"/>
      <c r="TIJ35" s="39"/>
      <c r="TIK35" s="39"/>
      <c r="TIL35" s="39"/>
      <c r="TIM35" s="39"/>
      <c r="TIN35" s="39"/>
      <c r="TIO35" s="39"/>
      <c r="TIP35" s="39"/>
      <c r="TIQ35" s="39"/>
      <c r="TIR35" s="39"/>
      <c r="TIS35" s="39"/>
      <c r="TIT35" s="39"/>
      <c r="TIU35" s="39"/>
      <c r="TIV35" s="39"/>
      <c r="TIW35" s="39"/>
      <c r="TIX35" s="39"/>
      <c r="TIY35" s="39"/>
      <c r="TIZ35" s="39"/>
      <c r="TJA35" s="39"/>
      <c r="TJB35" s="39"/>
      <c r="TJC35" s="39"/>
      <c r="TJD35" s="39"/>
      <c r="TJE35" s="39"/>
      <c r="TJF35" s="39"/>
      <c r="TJG35" s="39"/>
      <c r="TJH35" s="39"/>
      <c r="TJI35" s="39"/>
      <c r="TJJ35" s="39"/>
      <c r="TJK35" s="39"/>
      <c r="TJL35" s="39"/>
      <c r="TJM35" s="39"/>
      <c r="TJN35" s="39"/>
      <c r="TJO35" s="39"/>
      <c r="TJP35" s="39"/>
      <c r="TJQ35" s="39"/>
      <c r="TJR35" s="39"/>
      <c r="TJS35" s="39"/>
      <c r="TJT35" s="39"/>
      <c r="TJU35" s="39"/>
      <c r="TJV35" s="39"/>
      <c r="TJW35" s="39"/>
      <c r="TJX35" s="39"/>
      <c r="TJY35" s="39"/>
      <c r="TJZ35" s="39"/>
      <c r="TKA35" s="39"/>
      <c r="TKB35" s="39"/>
      <c r="TKC35" s="39"/>
      <c r="TKD35" s="39"/>
      <c r="TKE35" s="39"/>
      <c r="TKF35" s="39"/>
      <c r="TKG35" s="39"/>
      <c r="TKH35" s="39"/>
      <c r="TKI35" s="39"/>
      <c r="TKJ35" s="39"/>
      <c r="TKK35" s="39"/>
      <c r="TKL35" s="39"/>
      <c r="TKM35" s="39"/>
      <c r="TKN35" s="39"/>
      <c r="TKO35" s="39"/>
      <c r="TKP35" s="39"/>
      <c r="TKQ35" s="39"/>
      <c r="TKR35" s="39"/>
      <c r="TKS35" s="39"/>
      <c r="TKT35" s="39"/>
      <c r="TKU35" s="39"/>
      <c r="TKV35" s="39"/>
      <c r="TKW35" s="39"/>
      <c r="TKX35" s="39"/>
      <c r="TKY35" s="39"/>
      <c r="TKZ35" s="39"/>
      <c r="TLA35" s="39"/>
      <c r="TLB35" s="39"/>
      <c r="TLC35" s="39"/>
      <c r="TLD35" s="39"/>
      <c r="TLE35" s="39"/>
      <c r="TLF35" s="39"/>
      <c r="TLG35" s="39"/>
      <c r="TLH35" s="39"/>
      <c r="TLI35" s="39"/>
      <c r="TLJ35" s="39"/>
      <c r="TLK35" s="39"/>
      <c r="TLL35" s="39"/>
      <c r="TLM35" s="39"/>
      <c r="TLN35" s="39"/>
      <c r="TLO35" s="39"/>
      <c r="TLP35" s="39"/>
      <c r="TLQ35" s="39"/>
      <c r="TLR35" s="39"/>
      <c r="TLS35" s="39"/>
      <c r="TLT35" s="39"/>
      <c r="TLU35" s="39"/>
      <c r="TLV35" s="39"/>
      <c r="TLW35" s="39"/>
      <c r="TLX35" s="39"/>
      <c r="TLY35" s="39"/>
      <c r="TLZ35" s="39"/>
      <c r="TMA35" s="39"/>
      <c r="TMB35" s="39"/>
      <c r="TMC35" s="39"/>
      <c r="TMD35" s="39"/>
      <c r="TME35" s="39"/>
      <c r="TMF35" s="39"/>
      <c r="TMG35" s="39"/>
      <c r="TMH35" s="39"/>
      <c r="TMI35" s="39"/>
      <c r="TMJ35" s="39"/>
      <c r="TMK35" s="39"/>
      <c r="TML35" s="39"/>
      <c r="TMM35" s="39"/>
      <c r="TMN35" s="39"/>
      <c r="TMO35" s="39"/>
      <c r="TMP35" s="39"/>
      <c r="TMQ35" s="39"/>
      <c r="TMR35" s="39"/>
      <c r="TMS35" s="39"/>
      <c r="TMT35" s="39"/>
      <c r="TMU35" s="39"/>
      <c r="TMV35" s="39"/>
      <c r="TMW35" s="39"/>
      <c r="TMX35" s="39"/>
      <c r="TMY35" s="39"/>
      <c r="TMZ35" s="39"/>
      <c r="TNA35" s="39"/>
      <c r="TNB35" s="39"/>
      <c r="TNC35" s="39"/>
      <c r="TND35" s="39"/>
      <c r="TNE35" s="39"/>
      <c r="TNF35" s="39"/>
      <c r="TNG35" s="39"/>
      <c r="TNH35" s="39"/>
      <c r="TNI35" s="39"/>
      <c r="TNJ35" s="39"/>
      <c r="TNK35" s="39"/>
      <c r="TNL35" s="39"/>
      <c r="TNM35" s="39"/>
      <c r="TNN35" s="39"/>
      <c r="TNO35" s="39"/>
      <c r="TNP35" s="39"/>
      <c r="TNQ35" s="39"/>
      <c r="TNR35" s="39"/>
      <c r="TNS35" s="39"/>
      <c r="TNT35" s="39"/>
      <c r="TNU35" s="39"/>
      <c r="TNV35" s="39"/>
      <c r="TNW35" s="39"/>
      <c r="TNX35" s="39"/>
      <c r="TNY35" s="39"/>
      <c r="TNZ35" s="39"/>
      <c r="TOA35" s="39"/>
      <c r="TOB35" s="39"/>
      <c r="TOC35" s="39"/>
      <c r="TOD35" s="39"/>
      <c r="TOE35" s="39"/>
      <c r="TOF35" s="39"/>
      <c r="TOG35" s="39"/>
      <c r="TOH35" s="39"/>
      <c r="TOI35" s="39"/>
      <c r="TOJ35" s="39"/>
      <c r="TOK35" s="39"/>
      <c r="TOL35" s="39"/>
      <c r="TOM35" s="39"/>
      <c r="TON35" s="39"/>
      <c r="TOO35" s="39"/>
      <c r="TOP35" s="39"/>
      <c r="TOQ35" s="39"/>
      <c r="TOR35" s="39"/>
      <c r="TOS35" s="39"/>
      <c r="TOT35" s="39"/>
      <c r="TOU35" s="39"/>
      <c r="TOV35" s="39"/>
      <c r="TOW35" s="39"/>
      <c r="TOX35" s="39"/>
      <c r="TOY35" s="39"/>
      <c r="TOZ35" s="39"/>
      <c r="TPA35" s="39"/>
      <c r="TPB35" s="39"/>
      <c r="TPC35" s="39"/>
      <c r="TPD35" s="39"/>
      <c r="TPE35" s="39"/>
      <c r="TPF35" s="39"/>
      <c r="TPG35" s="39"/>
      <c r="TPH35" s="39"/>
      <c r="TPI35" s="39"/>
      <c r="TPJ35" s="39"/>
      <c r="TPK35" s="39"/>
      <c r="TPL35" s="39"/>
      <c r="TPM35" s="39"/>
      <c r="TPN35" s="39"/>
      <c r="TPO35" s="39"/>
      <c r="TPP35" s="39"/>
      <c r="TPQ35" s="39"/>
      <c r="TPR35" s="39"/>
      <c r="TPS35" s="39"/>
      <c r="TPT35" s="39"/>
      <c r="TPU35" s="39"/>
      <c r="TPV35" s="39"/>
      <c r="TPW35" s="39"/>
      <c r="TPX35" s="39"/>
      <c r="TPY35" s="39"/>
      <c r="TPZ35" s="39"/>
      <c r="TQA35" s="39"/>
      <c r="TQB35" s="39"/>
      <c r="TQC35" s="39"/>
      <c r="TQD35" s="39"/>
      <c r="TQE35" s="39"/>
      <c r="TQF35" s="39"/>
      <c r="TQG35" s="39"/>
      <c r="TQH35" s="39"/>
      <c r="TQI35" s="39"/>
      <c r="TQJ35" s="39"/>
      <c r="TQK35" s="39"/>
      <c r="TQL35" s="39"/>
      <c r="TQM35" s="39"/>
      <c r="TQN35" s="39"/>
      <c r="TQO35" s="39"/>
      <c r="TQP35" s="39"/>
      <c r="TQQ35" s="39"/>
      <c r="TQR35" s="39"/>
      <c r="TQS35" s="39"/>
      <c r="TQT35" s="39"/>
      <c r="TQU35" s="39"/>
      <c r="TQV35" s="39"/>
      <c r="TQW35" s="39"/>
      <c r="TQX35" s="39"/>
      <c r="TQY35" s="39"/>
      <c r="TQZ35" s="39"/>
      <c r="TRA35" s="39"/>
      <c r="TRB35" s="39"/>
      <c r="TRC35" s="39"/>
      <c r="TRD35" s="39"/>
      <c r="TRE35" s="39"/>
      <c r="TRF35" s="39"/>
      <c r="TRG35" s="39"/>
      <c r="TRH35" s="39"/>
      <c r="TRI35" s="39"/>
      <c r="TRJ35" s="39"/>
      <c r="TRK35" s="39"/>
      <c r="TRL35" s="39"/>
      <c r="TRM35" s="39"/>
      <c r="TRN35" s="39"/>
      <c r="TRO35" s="39"/>
      <c r="TRP35" s="39"/>
      <c r="TRQ35" s="39"/>
      <c r="TRR35" s="39"/>
      <c r="TRS35" s="39"/>
      <c r="TRT35" s="39"/>
      <c r="TRU35" s="39"/>
      <c r="TRV35" s="39"/>
      <c r="TRW35" s="39"/>
      <c r="TRX35" s="39"/>
      <c r="TRY35" s="39"/>
      <c r="TRZ35" s="39"/>
      <c r="TSA35" s="39"/>
      <c r="TSB35" s="39"/>
      <c r="TSC35" s="39"/>
      <c r="TSD35" s="39"/>
      <c r="TSE35" s="39"/>
      <c r="TSF35" s="39"/>
      <c r="TSG35" s="39"/>
      <c r="TSH35" s="39"/>
      <c r="TSI35" s="39"/>
      <c r="TSJ35" s="39"/>
      <c r="TSK35" s="39"/>
      <c r="TSL35" s="39"/>
      <c r="TSM35" s="39"/>
      <c r="TSN35" s="39"/>
      <c r="TSO35" s="39"/>
      <c r="TSP35" s="39"/>
      <c r="TSQ35" s="39"/>
      <c r="TSR35" s="39"/>
      <c r="TSS35" s="39"/>
      <c r="TST35" s="39"/>
      <c r="TSU35" s="39"/>
      <c r="TSV35" s="39"/>
      <c r="TSW35" s="39"/>
      <c r="TSX35" s="39"/>
      <c r="TSY35" s="39"/>
      <c r="TSZ35" s="39"/>
      <c r="TTA35" s="39"/>
      <c r="TTB35" s="39"/>
      <c r="TTC35" s="39"/>
      <c r="TTD35" s="39"/>
      <c r="TTE35" s="39"/>
      <c r="TTF35" s="39"/>
      <c r="TTG35" s="39"/>
      <c r="TTH35" s="39"/>
      <c r="TTI35" s="39"/>
      <c r="TTJ35" s="39"/>
      <c r="TTK35" s="39"/>
      <c r="TTL35" s="39"/>
      <c r="TTM35" s="39"/>
      <c r="TTN35" s="39"/>
      <c r="TTO35" s="39"/>
      <c r="TTP35" s="39"/>
      <c r="TTQ35" s="39"/>
      <c r="TTR35" s="39"/>
      <c r="TTS35" s="39"/>
      <c r="TTT35" s="39"/>
      <c r="TTU35" s="39"/>
      <c r="TTV35" s="39"/>
      <c r="TTW35" s="39"/>
      <c r="TTX35" s="39"/>
      <c r="TTY35" s="39"/>
      <c r="TTZ35" s="39"/>
      <c r="TUA35" s="39"/>
      <c r="TUB35" s="39"/>
      <c r="TUC35" s="39"/>
      <c r="TUD35" s="39"/>
      <c r="TUE35" s="39"/>
      <c r="TUF35" s="39"/>
      <c r="TUG35" s="39"/>
      <c r="TUH35" s="39"/>
      <c r="TUI35" s="39"/>
      <c r="TUJ35" s="39"/>
      <c r="TUK35" s="39"/>
      <c r="TUL35" s="39"/>
      <c r="TUM35" s="39"/>
      <c r="TUN35" s="39"/>
      <c r="TUO35" s="39"/>
      <c r="TUP35" s="39"/>
      <c r="TUQ35" s="39"/>
      <c r="TUR35" s="39"/>
      <c r="TUS35" s="39"/>
      <c r="TUT35" s="39"/>
      <c r="TUU35" s="39"/>
      <c r="TUV35" s="39"/>
      <c r="TUW35" s="39"/>
      <c r="TUX35" s="39"/>
      <c r="TUY35" s="39"/>
      <c r="TUZ35" s="39"/>
      <c r="TVA35" s="39"/>
      <c r="TVB35" s="39"/>
      <c r="TVC35" s="39"/>
      <c r="TVD35" s="39"/>
      <c r="TVE35" s="39"/>
      <c r="TVF35" s="39"/>
      <c r="TVG35" s="39"/>
      <c r="TVH35" s="39"/>
      <c r="TVI35" s="39"/>
      <c r="TVJ35" s="39"/>
      <c r="TVK35" s="39"/>
      <c r="TVL35" s="39"/>
      <c r="TVM35" s="39"/>
      <c r="TVN35" s="39"/>
      <c r="TVO35" s="39"/>
      <c r="TVP35" s="39"/>
      <c r="TVQ35" s="39"/>
      <c r="TVR35" s="39"/>
      <c r="TVS35" s="39"/>
      <c r="TVT35" s="39"/>
      <c r="TVU35" s="39"/>
      <c r="TVV35" s="39"/>
      <c r="TVW35" s="39"/>
      <c r="TVX35" s="39"/>
      <c r="TVY35" s="39"/>
      <c r="TVZ35" s="39"/>
      <c r="TWA35" s="39"/>
      <c r="TWB35" s="39"/>
      <c r="TWC35" s="39"/>
      <c r="TWD35" s="39"/>
      <c r="TWE35" s="39"/>
      <c r="TWF35" s="39"/>
      <c r="TWG35" s="39"/>
      <c r="TWH35" s="39"/>
      <c r="TWI35" s="39"/>
      <c r="TWJ35" s="39"/>
      <c r="TWK35" s="39"/>
      <c r="TWL35" s="39"/>
      <c r="TWM35" s="39"/>
      <c r="TWN35" s="39"/>
      <c r="TWO35" s="39"/>
      <c r="TWP35" s="39"/>
      <c r="TWQ35" s="39"/>
      <c r="TWR35" s="39"/>
      <c r="TWS35" s="39"/>
      <c r="TWT35" s="39"/>
      <c r="TWU35" s="39"/>
      <c r="TWV35" s="39"/>
      <c r="TWW35" s="39"/>
      <c r="TWX35" s="39"/>
      <c r="TWY35" s="39"/>
      <c r="TWZ35" s="39"/>
      <c r="TXA35" s="39"/>
      <c r="TXB35" s="39"/>
      <c r="TXC35" s="39"/>
      <c r="TXD35" s="39"/>
      <c r="TXE35" s="39"/>
      <c r="TXF35" s="39"/>
      <c r="TXG35" s="39"/>
      <c r="TXH35" s="39"/>
      <c r="TXI35" s="39"/>
      <c r="TXJ35" s="39"/>
      <c r="TXK35" s="39"/>
      <c r="TXL35" s="39"/>
      <c r="TXM35" s="39"/>
      <c r="TXN35" s="39"/>
      <c r="TXO35" s="39"/>
      <c r="TXP35" s="39"/>
      <c r="TXQ35" s="39"/>
      <c r="TXR35" s="39"/>
      <c r="TXS35" s="39"/>
      <c r="TXT35" s="39"/>
      <c r="TXU35" s="39"/>
      <c r="TXV35" s="39"/>
      <c r="TXW35" s="39"/>
      <c r="TXX35" s="39"/>
      <c r="TXY35" s="39"/>
      <c r="TXZ35" s="39"/>
      <c r="TYA35" s="39"/>
      <c r="TYB35" s="39"/>
      <c r="TYC35" s="39"/>
      <c r="TYD35" s="39"/>
      <c r="TYE35" s="39"/>
      <c r="TYF35" s="39"/>
      <c r="TYG35" s="39"/>
      <c r="TYH35" s="39"/>
      <c r="TYI35" s="39"/>
      <c r="TYJ35" s="39"/>
      <c r="TYK35" s="39"/>
      <c r="TYL35" s="39"/>
      <c r="TYM35" s="39"/>
      <c r="TYN35" s="39"/>
      <c r="TYO35" s="39"/>
      <c r="TYP35" s="39"/>
      <c r="TYQ35" s="39"/>
      <c r="TYR35" s="39"/>
      <c r="TYS35" s="39"/>
      <c r="TYT35" s="39"/>
      <c r="TYU35" s="39"/>
      <c r="TYV35" s="39"/>
      <c r="TYW35" s="39"/>
      <c r="TYX35" s="39"/>
      <c r="TYY35" s="39"/>
      <c r="TYZ35" s="39"/>
      <c r="TZA35" s="39"/>
      <c r="TZB35" s="39"/>
      <c r="TZC35" s="39"/>
      <c r="TZD35" s="39"/>
      <c r="TZE35" s="39"/>
      <c r="TZF35" s="39"/>
      <c r="TZG35" s="39"/>
      <c r="TZH35" s="39"/>
      <c r="TZI35" s="39"/>
      <c r="TZJ35" s="39"/>
      <c r="TZK35" s="39"/>
      <c r="TZL35" s="39"/>
      <c r="TZM35" s="39"/>
      <c r="TZN35" s="39"/>
      <c r="TZO35" s="39"/>
      <c r="TZP35" s="39"/>
      <c r="TZQ35" s="39"/>
      <c r="TZR35" s="39"/>
      <c r="TZS35" s="39"/>
      <c r="TZT35" s="39"/>
      <c r="TZU35" s="39"/>
      <c r="TZV35" s="39"/>
      <c r="TZW35" s="39"/>
      <c r="TZX35" s="39"/>
      <c r="TZY35" s="39"/>
      <c r="TZZ35" s="39"/>
      <c r="UAA35" s="39"/>
      <c r="UAB35" s="39"/>
      <c r="UAC35" s="39"/>
      <c r="UAD35" s="39"/>
      <c r="UAE35" s="39"/>
      <c r="UAF35" s="39"/>
      <c r="UAG35" s="39"/>
      <c r="UAH35" s="39"/>
      <c r="UAI35" s="39"/>
      <c r="UAJ35" s="39"/>
      <c r="UAK35" s="39"/>
      <c r="UAL35" s="39"/>
      <c r="UAM35" s="39"/>
      <c r="UAN35" s="39"/>
      <c r="UAO35" s="39"/>
      <c r="UAP35" s="39"/>
      <c r="UAQ35" s="39"/>
      <c r="UAR35" s="39"/>
      <c r="UAS35" s="39"/>
      <c r="UAT35" s="39"/>
      <c r="UAU35" s="39"/>
      <c r="UAV35" s="39"/>
      <c r="UAW35" s="39"/>
      <c r="UAX35" s="39"/>
      <c r="UAY35" s="39"/>
      <c r="UAZ35" s="39"/>
      <c r="UBA35" s="39"/>
      <c r="UBB35" s="39"/>
      <c r="UBC35" s="39"/>
      <c r="UBD35" s="39"/>
      <c r="UBE35" s="39"/>
      <c r="UBF35" s="39"/>
      <c r="UBG35" s="39"/>
      <c r="UBH35" s="39"/>
      <c r="UBI35" s="39"/>
      <c r="UBJ35" s="39"/>
      <c r="UBK35" s="39"/>
      <c r="UBL35" s="39"/>
      <c r="UBM35" s="39"/>
      <c r="UBN35" s="39"/>
      <c r="UBO35" s="39"/>
      <c r="UBP35" s="39"/>
      <c r="UBQ35" s="39"/>
      <c r="UBR35" s="39"/>
      <c r="UBS35" s="39"/>
      <c r="UBT35" s="39"/>
      <c r="UBU35" s="39"/>
      <c r="UBV35" s="39"/>
      <c r="UBW35" s="39"/>
      <c r="UBX35" s="39"/>
      <c r="UBY35" s="39"/>
      <c r="UBZ35" s="39"/>
      <c r="UCA35" s="39"/>
      <c r="UCB35" s="39"/>
      <c r="UCC35" s="39"/>
      <c r="UCD35" s="39"/>
      <c r="UCE35" s="39"/>
      <c r="UCF35" s="39"/>
      <c r="UCG35" s="39"/>
      <c r="UCH35" s="39"/>
      <c r="UCI35" s="39"/>
      <c r="UCJ35" s="39"/>
      <c r="UCK35" s="39"/>
      <c r="UCL35" s="39"/>
      <c r="UCM35" s="39"/>
      <c r="UCN35" s="39"/>
      <c r="UCO35" s="39"/>
      <c r="UCP35" s="39"/>
      <c r="UCQ35" s="39"/>
      <c r="UCR35" s="39"/>
      <c r="UCS35" s="39"/>
      <c r="UCT35" s="39"/>
      <c r="UCU35" s="39"/>
      <c r="UCV35" s="39"/>
      <c r="UCW35" s="39"/>
      <c r="UCX35" s="39"/>
      <c r="UCY35" s="39"/>
      <c r="UCZ35" s="39"/>
      <c r="UDA35" s="39"/>
      <c r="UDB35" s="39"/>
      <c r="UDC35" s="39"/>
      <c r="UDD35" s="39"/>
      <c r="UDE35" s="39"/>
      <c r="UDF35" s="39"/>
      <c r="UDG35" s="39"/>
      <c r="UDH35" s="39"/>
      <c r="UDI35" s="39"/>
      <c r="UDJ35" s="39"/>
      <c r="UDK35" s="39"/>
      <c r="UDL35" s="39"/>
      <c r="UDM35" s="39"/>
      <c r="UDN35" s="39"/>
      <c r="UDO35" s="39"/>
      <c r="UDP35" s="39"/>
      <c r="UDQ35" s="39"/>
      <c r="UDR35" s="39"/>
      <c r="UDS35" s="39"/>
      <c r="UDT35" s="39"/>
      <c r="UDU35" s="39"/>
      <c r="UDV35" s="39"/>
      <c r="UDW35" s="39"/>
      <c r="UDX35" s="39"/>
      <c r="UDY35" s="39"/>
      <c r="UDZ35" s="39"/>
      <c r="UEA35" s="39"/>
      <c r="UEB35" s="39"/>
      <c r="UEC35" s="39"/>
      <c r="UED35" s="39"/>
      <c r="UEE35" s="39"/>
      <c r="UEF35" s="39"/>
      <c r="UEG35" s="39"/>
      <c r="UEH35" s="39"/>
      <c r="UEI35" s="39"/>
      <c r="UEJ35" s="39"/>
      <c r="UEK35" s="39"/>
      <c r="UEL35" s="39"/>
      <c r="UEM35" s="39"/>
      <c r="UEN35" s="39"/>
      <c r="UEO35" s="39"/>
      <c r="UEP35" s="39"/>
      <c r="UEQ35" s="39"/>
      <c r="UER35" s="39"/>
      <c r="UES35" s="39"/>
      <c r="UET35" s="39"/>
      <c r="UEU35" s="39"/>
      <c r="UEV35" s="39"/>
      <c r="UEW35" s="39"/>
      <c r="UEX35" s="39"/>
      <c r="UEY35" s="39"/>
      <c r="UEZ35" s="39"/>
      <c r="UFA35" s="39"/>
      <c r="UFB35" s="39"/>
      <c r="UFC35" s="39"/>
      <c r="UFD35" s="39"/>
      <c r="UFE35" s="39"/>
      <c r="UFF35" s="39"/>
      <c r="UFG35" s="39"/>
      <c r="UFH35" s="39"/>
      <c r="UFI35" s="39"/>
      <c r="UFJ35" s="39"/>
      <c r="UFK35" s="39"/>
      <c r="UFL35" s="39"/>
      <c r="UFM35" s="39"/>
      <c r="UFN35" s="39"/>
      <c r="UFO35" s="39"/>
      <c r="UFP35" s="39"/>
      <c r="UFQ35" s="39"/>
      <c r="UFR35" s="39"/>
      <c r="UFS35" s="39"/>
      <c r="UFT35" s="39"/>
      <c r="UFU35" s="39"/>
      <c r="UFV35" s="39"/>
      <c r="UFW35" s="39"/>
      <c r="UFX35" s="39"/>
      <c r="UFY35" s="39"/>
      <c r="UFZ35" s="39"/>
      <c r="UGA35" s="39"/>
      <c r="UGB35" s="39"/>
      <c r="UGC35" s="39"/>
      <c r="UGD35" s="39"/>
      <c r="UGE35" s="39"/>
      <c r="UGF35" s="39"/>
      <c r="UGG35" s="39"/>
      <c r="UGH35" s="39"/>
      <c r="UGI35" s="39"/>
      <c r="UGJ35" s="39"/>
      <c r="UGK35" s="39"/>
      <c r="UGL35" s="39"/>
      <c r="UGM35" s="39"/>
      <c r="UGN35" s="39"/>
      <c r="UGO35" s="39"/>
      <c r="UGP35" s="39"/>
      <c r="UGQ35" s="39"/>
      <c r="UGR35" s="39"/>
      <c r="UGS35" s="39"/>
      <c r="UGT35" s="39"/>
      <c r="UGU35" s="39"/>
      <c r="UGV35" s="39"/>
      <c r="UGW35" s="39"/>
      <c r="UGX35" s="39"/>
      <c r="UGY35" s="39"/>
      <c r="UGZ35" s="39"/>
      <c r="UHA35" s="39"/>
      <c r="UHB35" s="39"/>
      <c r="UHC35" s="39"/>
      <c r="UHD35" s="39"/>
      <c r="UHE35" s="39"/>
      <c r="UHF35" s="39"/>
      <c r="UHG35" s="39"/>
      <c r="UHH35" s="39"/>
      <c r="UHI35" s="39"/>
      <c r="UHJ35" s="39"/>
      <c r="UHK35" s="39"/>
      <c r="UHL35" s="39"/>
      <c r="UHM35" s="39"/>
      <c r="UHN35" s="39"/>
      <c r="UHO35" s="39"/>
      <c r="UHP35" s="39"/>
      <c r="UHQ35" s="39"/>
      <c r="UHR35" s="39"/>
      <c r="UHS35" s="39"/>
      <c r="UHT35" s="39"/>
      <c r="UHU35" s="39"/>
      <c r="UHV35" s="39"/>
      <c r="UHW35" s="39"/>
      <c r="UHX35" s="39"/>
      <c r="UHY35" s="39"/>
      <c r="UHZ35" s="39"/>
      <c r="UIA35" s="39"/>
      <c r="UIB35" s="39"/>
      <c r="UIC35" s="39"/>
      <c r="UID35" s="39"/>
      <c r="UIE35" s="39"/>
      <c r="UIF35" s="39"/>
      <c r="UIG35" s="39"/>
      <c r="UIH35" s="39"/>
      <c r="UII35" s="39"/>
      <c r="UIJ35" s="39"/>
      <c r="UIK35" s="39"/>
      <c r="UIL35" s="39"/>
      <c r="UIM35" s="39"/>
      <c r="UIN35" s="39"/>
      <c r="UIO35" s="39"/>
      <c r="UIP35" s="39"/>
      <c r="UIQ35" s="39"/>
      <c r="UIR35" s="39"/>
      <c r="UIS35" s="39"/>
      <c r="UIT35" s="39"/>
      <c r="UIU35" s="39"/>
      <c r="UIV35" s="39"/>
      <c r="UIW35" s="39"/>
      <c r="UIX35" s="39"/>
      <c r="UIY35" s="39"/>
      <c r="UIZ35" s="39"/>
      <c r="UJA35" s="39"/>
      <c r="UJB35" s="39"/>
      <c r="UJC35" s="39"/>
      <c r="UJD35" s="39"/>
      <c r="UJE35" s="39"/>
      <c r="UJF35" s="39"/>
      <c r="UJG35" s="39"/>
      <c r="UJH35" s="39"/>
      <c r="UJI35" s="39"/>
      <c r="UJJ35" s="39"/>
      <c r="UJK35" s="39"/>
      <c r="UJL35" s="39"/>
      <c r="UJM35" s="39"/>
      <c r="UJN35" s="39"/>
      <c r="UJO35" s="39"/>
      <c r="UJP35" s="39"/>
      <c r="UJQ35" s="39"/>
      <c r="UJR35" s="39"/>
      <c r="UJS35" s="39"/>
      <c r="UJT35" s="39"/>
      <c r="UJU35" s="39"/>
      <c r="UJV35" s="39"/>
      <c r="UJW35" s="39"/>
      <c r="UJX35" s="39"/>
      <c r="UJY35" s="39"/>
      <c r="UJZ35" s="39"/>
      <c r="UKA35" s="39"/>
      <c r="UKB35" s="39"/>
      <c r="UKC35" s="39"/>
      <c r="UKD35" s="39"/>
      <c r="UKE35" s="39"/>
      <c r="UKF35" s="39"/>
      <c r="UKG35" s="39"/>
      <c r="UKH35" s="39"/>
      <c r="UKI35" s="39"/>
      <c r="UKJ35" s="39"/>
      <c r="UKK35" s="39"/>
      <c r="UKL35" s="39"/>
      <c r="UKM35" s="39"/>
      <c r="UKN35" s="39"/>
      <c r="UKO35" s="39"/>
      <c r="UKP35" s="39"/>
      <c r="UKQ35" s="39"/>
      <c r="UKR35" s="39"/>
      <c r="UKS35" s="39"/>
      <c r="UKT35" s="39"/>
      <c r="UKU35" s="39"/>
      <c r="UKV35" s="39"/>
      <c r="UKW35" s="39"/>
      <c r="UKX35" s="39"/>
      <c r="UKY35" s="39"/>
      <c r="UKZ35" s="39"/>
      <c r="ULA35" s="39"/>
      <c r="ULB35" s="39"/>
      <c r="ULC35" s="39"/>
      <c r="ULD35" s="39"/>
      <c r="ULE35" s="39"/>
      <c r="ULF35" s="39"/>
      <c r="ULG35" s="39"/>
      <c r="ULH35" s="39"/>
      <c r="ULI35" s="39"/>
      <c r="ULJ35" s="39"/>
      <c r="ULK35" s="39"/>
      <c r="ULL35" s="39"/>
      <c r="ULM35" s="39"/>
      <c r="ULN35" s="39"/>
      <c r="ULO35" s="39"/>
      <c r="ULP35" s="39"/>
      <c r="ULQ35" s="39"/>
      <c r="ULR35" s="39"/>
      <c r="ULS35" s="39"/>
      <c r="ULT35" s="39"/>
      <c r="ULU35" s="39"/>
      <c r="ULV35" s="39"/>
      <c r="ULW35" s="39"/>
      <c r="ULX35" s="39"/>
      <c r="ULY35" s="39"/>
      <c r="ULZ35" s="39"/>
      <c r="UMA35" s="39"/>
      <c r="UMB35" s="39"/>
      <c r="UMC35" s="39"/>
      <c r="UMD35" s="39"/>
      <c r="UME35" s="39"/>
      <c r="UMF35" s="39"/>
      <c r="UMG35" s="39"/>
      <c r="UMH35" s="39"/>
      <c r="UMI35" s="39"/>
      <c r="UMJ35" s="39"/>
      <c r="UMK35" s="39"/>
      <c r="UML35" s="39"/>
      <c r="UMM35" s="39"/>
      <c r="UMN35" s="39"/>
      <c r="UMO35" s="39"/>
      <c r="UMP35" s="39"/>
      <c r="UMQ35" s="39"/>
      <c r="UMR35" s="39"/>
      <c r="UMS35" s="39"/>
      <c r="UMT35" s="39"/>
      <c r="UMU35" s="39"/>
      <c r="UMV35" s="39"/>
      <c r="UMW35" s="39"/>
      <c r="UMX35" s="39"/>
      <c r="UMY35" s="39"/>
      <c r="UMZ35" s="39"/>
      <c r="UNA35" s="39"/>
      <c r="UNB35" s="39"/>
      <c r="UNC35" s="39"/>
      <c r="UND35" s="39"/>
      <c r="UNE35" s="39"/>
      <c r="UNF35" s="39"/>
      <c r="UNG35" s="39"/>
      <c r="UNH35" s="39"/>
      <c r="UNI35" s="39"/>
      <c r="UNJ35" s="39"/>
      <c r="UNK35" s="39"/>
      <c r="UNL35" s="39"/>
      <c r="UNM35" s="39"/>
      <c r="UNN35" s="39"/>
      <c r="UNO35" s="39"/>
      <c r="UNP35" s="39"/>
      <c r="UNQ35" s="39"/>
      <c r="UNR35" s="39"/>
      <c r="UNS35" s="39"/>
      <c r="UNT35" s="39"/>
      <c r="UNU35" s="39"/>
      <c r="UNV35" s="39"/>
      <c r="UNW35" s="39"/>
      <c r="UNX35" s="39"/>
      <c r="UNY35" s="39"/>
      <c r="UNZ35" s="39"/>
      <c r="UOA35" s="39"/>
      <c r="UOB35" s="39"/>
      <c r="UOC35" s="39"/>
      <c r="UOD35" s="39"/>
      <c r="UOE35" s="39"/>
      <c r="UOF35" s="39"/>
      <c r="UOG35" s="39"/>
      <c r="UOH35" s="39"/>
      <c r="UOI35" s="39"/>
      <c r="UOJ35" s="39"/>
      <c r="UOK35" s="39"/>
      <c r="UOL35" s="39"/>
      <c r="UOM35" s="39"/>
      <c r="UON35" s="39"/>
      <c r="UOO35" s="39"/>
      <c r="UOP35" s="39"/>
      <c r="UOQ35" s="39"/>
      <c r="UOR35" s="39"/>
      <c r="UOS35" s="39"/>
      <c r="UOT35" s="39"/>
      <c r="UOU35" s="39"/>
      <c r="UOV35" s="39"/>
      <c r="UOW35" s="39"/>
      <c r="UOX35" s="39"/>
      <c r="UOY35" s="39"/>
      <c r="UOZ35" s="39"/>
      <c r="UPA35" s="39"/>
      <c r="UPB35" s="39"/>
      <c r="UPC35" s="39"/>
      <c r="UPD35" s="39"/>
      <c r="UPE35" s="39"/>
      <c r="UPF35" s="39"/>
      <c r="UPG35" s="39"/>
      <c r="UPH35" s="39"/>
      <c r="UPI35" s="39"/>
      <c r="UPJ35" s="39"/>
      <c r="UPK35" s="39"/>
      <c r="UPL35" s="39"/>
      <c r="UPM35" s="39"/>
      <c r="UPN35" s="39"/>
      <c r="UPO35" s="39"/>
      <c r="UPP35" s="39"/>
      <c r="UPQ35" s="39"/>
      <c r="UPR35" s="39"/>
      <c r="UPS35" s="39"/>
      <c r="UPT35" s="39"/>
      <c r="UPU35" s="39"/>
      <c r="UPV35" s="39"/>
      <c r="UPW35" s="39"/>
      <c r="UPX35" s="39"/>
      <c r="UPY35" s="39"/>
      <c r="UPZ35" s="39"/>
      <c r="UQA35" s="39"/>
      <c r="UQB35" s="39"/>
      <c r="UQC35" s="39"/>
      <c r="UQD35" s="39"/>
      <c r="UQE35" s="39"/>
      <c r="UQF35" s="39"/>
      <c r="UQG35" s="39"/>
      <c r="UQH35" s="39"/>
      <c r="UQI35" s="39"/>
      <c r="UQJ35" s="39"/>
      <c r="UQK35" s="39"/>
      <c r="UQL35" s="39"/>
      <c r="UQM35" s="39"/>
      <c r="UQN35" s="39"/>
      <c r="UQO35" s="39"/>
      <c r="UQP35" s="39"/>
      <c r="UQQ35" s="39"/>
      <c r="UQR35" s="39"/>
      <c r="UQS35" s="39"/>
      <c r="UQT35" s="39"/>
      <c r="UQU35" s="39"/>
      <c r="UQV35" s="39"/>
      <c r="UQW35" s="39"/>
      <c r="UQX35" s="39"/>
      <c r="UQY35" s="39"/>
      <c r="UQZ35" s="39"/>
      <c r="URA35" s="39"/>
      <c r="URB35" s="39"/>
      <c r="URC35" s="39"/>
      <c r="URD35" s="39"/>
      <c r="URE35" s="39"/>
      <c r="URF35" s="39"/>
      <c r="URG35" s="39"/>
      <c r="URH35" s="39"/>
      <c r="URI35" s="39"/>
      <c r="URJ35" s="39"/>
      <c r="URK35" s="39"/>
      <c r="URL35" s="39"/>
      <c r="URM35" s="39"/>
      <c r="URN35" s="39"/>
      <c r="URO35" s="39"/>
      <c r="URP35" s="39"/>
      <c r="URQ35" s="39"/>
      <c r="URR35" s="39"/>
      <c r="URS35" s="39"/>
      <c r="URT35" s="39"/>
      <c r="URU35" s="39"/>
      <c r="URV35" s="39"/>
      <c r="URW35" s="39"/>
      <c r="URX35" s="39"/>
      <c r="URY35" s="39"/>
      <c r="URZ35" s="39"/>
      <c r="USA35" s="39"/>
      <c r="USB35" s="39"/>
      <c r="USC35" s="39"/>
      <c r="USD35" s="39"/>
      <c r="USE35" s="39"/>
      <c r="USF35" s="39"/>
      <c r="USG35" s="39"/>
      <c r="USH35" s="39"/>
      <c r="USI35" s="39"/>
      <c r="USJ35" s="39"/>
      <c r="USK35" s="39"/>
      <c r="USL35" s="39"/>
      <c r="USM35" s="39"/>
      <c r="USN35" s="39"/>
      <c r="USO35" s="39"/>
      <c r="USP35" s="39"/>
      <c r="USQ35" s="39"/>
      <c r="USR35" s="39"/>
      <c r="USS35" s="39"/>
      <c r="UST35" s="39"/>
      <c r="USU35" s="39"/>
      <c r="USV35" s="39"/>
      <c r="USW35" s="39"/>
      <c r="USX35" s="39"/>
      <c r="USY35" s="39"/>
      <c r="USZ35" s="39"/>
      <c r="UTA35" s="39"/>
      <c r="UTB35" s="39"/>
      <c r="UTC35" s="39"/>
      <c r="UTD35" s="39"/>
      <c r="UTE35" s="39"/>
      <c r="UTF35" s="39"/>
      <c r="UTG35" s="39"/>
      <c r="UTH35" s="39"/>
      <c r="UTI35" s="39"/>
      <c r="UTJ35" s="39"/>
      <c r="UTK35" s="39"/>
      <c r="UTL35" s="39"/>
      <c r="UTM35" s="39"/>
      <c r="UTN35" s="39"/>
      <c r="UTO35" s="39"/>
      <c r="UTP35" s="39"/>
      <c r="UTQ35" s="39"/>
      <c r="UTR35" s="39"/>
      <c r="UTS35" s="39"/>
      <c r="UTT35" s="39"/>
      <c r="UTU35" s="39"/>
      <c r="UTV35" s="39"/>
      <c r="UTW35" s="39"/>
      <c r="UTX35" s="39"/>
      <c r="UTY35" s="39"/>
      <c r="UTZ35" s="39"/>
      <c r="UUA35" s="39"/>
      <c r="UUB35" s="39"/>
      <c r="UUC35" s="39"/>
      <c r="UUD35" s="39"/>
      <c r="UUE35" s="39"/>
      <c r="UUF35" s="39"/>
      <c r="UUG35" s="39"/>
      <c r="UUH35" s="39"/>
      <c r="UUI35" s="39"/>
      <c r="UUJ35" s="39"/>
      <c r="UUK35" s="39"/>
      <c r="UUL35" s="39"/>
      <c r="UUM35" s="39"/>
      <c r="UUN35" s="39"/>
      <c r="UUO35" s="39"/>
      <c r="UUP35" s="39"/>
      <c r="UUQ35" s="39"/>
      <c r="UUR35" s="39"/>
      <c r="UUS35" s="39"/>
      <c r="UUT35" s="39"/>
      <c r="UUU35" s="39"/>
      <c r="UUV35" s="39"/>
      <c r="UUW35" s="39"/>
      <c r="UUX35" s="39"/>
      <c r="UUY35" s="39"/>
      <c r="UUZ35" s="39"/>
      <c r="UVA35" s="39"/>
      <c r="UVB35" s="39"/>
      <c r="UVC35" s="39"/>
      <c r="UVD35" s="39"/>
      <c r="UVE35" s="39"/>
      <c r="UVF35" s="39"/>
      <c r="UVG35" s="39"/>
      <c r="UVH35" s="39"/>
      <c r="UVI35" s="39"/>
      <c r="UVJ35" s="39"/>
      <c r="UVK35" s="39"/>
      <c r="UVL35" s="39"/>
      <c r="UVM35" s="39"/>
      <c r="UVN35" s="39"/>
      <c r="UVO35" s="39"/>
      <c r="UVP35" s="39"/>
      <c r="UVQ35" s="39"/>
      <c r="UVR35" s="39"/>
      <c r="UVS35" s="39"/>
      <c r="UVT35" s="39"/>
      <c r="UVU35" s="39"/>
      <c r="UVV35" s="39"/>
      <c r="UVW35" s="39"/>
      <c r="UVX35" s="39"/>
      <c r="UVY35" s="39"/>
      <c r="UVZ35" s="39"/>
      <c r="UWA35" s="39"/>
      <c r="UWB35" s="39"/>
      <c r="UWC35" s="39"/>
      <c r="UWD35" s="39"/>
      <c r="UWE35" s="39"/>
      <c r="UWF35" s="39"/>
      <c r="UWG35" s="39"/>
      <c r="UWH35" s="39"/>
      <c r="UWI35" s="39"/>
      <c r="UWJ35" s="39"/>
      <c r="UWK35" s="39"/>
      <c r="UWL35" s="39"/>
      <c r="UWM35" s="39"/>
      <c r="UWN35" s="39"/>
      <c r="UWO35" s="39"/>
      <c r="UWP35" s="39"/>
      <c r="UWQ35" s="39"/>
      <c r="UWR35" s="39"/>
      <c r="UWS35" s="39"/>
      <c r="UWT35" s="39"/>
      <c r="UWU35" s="39"/>
      <c r="UWV35" s="39"/>
      <c r="UWW35" s="39"/>
      <c r="UWX35" s="39"/>
      <c r="UWY35" s="39"/>
      <c r="UWZ35" s="39"/>
      <c r="UXA35" s="39"/>
      <c r="UXB35" s="39"/>
      <c r="UXC35" s="39"/>
      <c r="UXD35" s="39"/>
      <c r="UXE35" s="39"/>
      <c r="UXF35" s="39"/>
      <c r="UXG35" s="39"/>
      <c r="UXH35" s="39"/>
      <c r="UXI35" s="39"/>
      <c r="UXJ35" s="39"/>
      <c r="UXK35" s="39"/>
      <c r="UXL35" s="39"/>
      <c r="UXM35" s="39"/>
      <c r="UXN35" s="39"/>
      <c r="UXO35" s="39"/>
      <c r="UXP35" s="39"/>
      <c r="UXQ35" s="39"/>
      <c r="UXR35" s="39"/>
      <c r="UXS35" s="39"/>
      <c r="UXT35" s="39"/>
      <c r="UXU35" s="39"/>
      <c r="UXV35" s="39"/>
      <c r="UXW35" s="39"/>
      <c r="UXX35" s="39"/>
      <c r="UXY35" s="39"/>
      <c r="UXZ35" s="39"/>
      <c r="UYA35" s="39"/>
      <c r="UYB35" s="39"/>
      <c r="UYC35" s="39"/>
      <c r="UYD35" s="39"/>
      <c r="UYE35" s="39"/>
      <c r="UYF35" s="39"/>
      <c r="UYG35" s="39"/>
      <c r="UYH35" s="39"/>
      <c r="UYI35" s="39"/>
      <c r="UYJ35" s="39"/>
      <c r="UYK35" s="39"/>
      <c r="UYL35" s="39"/>
      <c r="UYM35" s="39"/>
      <c r="UYN35" s="39"/>
      <c r="UYO35" s="39"/>
      <c r="UYP35" s="39"/>
      <c r="UYQ35" s="39"/>
      <c r="UYR35" s="39"/>
      <c r="UYS35" s="39"/>
      <c r="UYT35" s="39"/>
      <c r="UYU35" s="39"/>
      <c r="UYV35" s="39"/>
      <c r="UYW35" s="39"/>
      <c r="UYX35" s="39"/>
      <c r="UYY35" s="39"/>
      <c r="UYZ35" s="39"/>
      <c r="UZA35" s="39"/>
      <c r="UZB35" s="39"/>
      <c r="UZC35" s="39"/>
      <c r="UZD35" s="39"/>
      <c r="UZE35" s="39"/>
      <c r="UZF35" s="39"/>
      <c r="UZG35" s="39"/>
      <c r="UZH35" s="39"/>
      <c r="UZI35" s="39"/>
      <c r="UZJ35" s="39"/>
      <c r="UZK35" s="39"/>
      <c r="UZL35" s="39"/>
      <c r="UZM35" s="39"/>
      <c r="UZN35" s="39"/>
      <c r="UZO35" s="39"/>
      <c r="UZP35" s="39"/>
      <c r="UZQ35" s="39"/>
      <c r="UZR35" s="39"/>
      <c r="UZS35" s="39"/>
      <c r="UZT35" s="39"/>
      <c r="UZU35" s="39"/>
      <c r="UZV35" s="39"/>
      <c r="UZW35" s="39"/>
      <c r="UZX35" s="39"/>
      <c r="UZY35" s="39"/>
      <c r="UZZ35" s="39"/>
      <c r="VAA35" s="39"/>
      <c r="VAB35" s="39"/>
      <c r="VAC35" s="39"/>
      <c r="VAD35" s="39"/>
      <c r="VAE35" s="39"/>
      <c r="VAF35" s="39"/>
      <c r="VAG35" s="39"/>
      <c r="VAH35" s="39"/>
      <c r="VAI35" s="39"/>
      <c r="VAJ35" s="39"/>
      <c r="VAK35" s="39"/>
      <c r="VAL35" s="39"/>
      <c r="VAM35" s="39"/>
      <c r="VAN35" s="39"/>
      <c r="VAO35" s="39"/>
      <c r="VAP35" s="39"/>
      <c r="VAQ35" s="39"/>
      <c r="VAR35" s="39"/>
      <c r="VAS35" s="39"/>
      <c r="VAT35" s="39"/>
      <c r="VAU35" s="39"/>
      <c r="VAV35" s="39"/>
      <c r="VAW35" s="39"/>
      <c r="VAX35" s="39"/>
      <c r="VAY35" s="39"/>
      <c r="VAZ35" s="39"/>
      <c r="VBA35" s="39"/>
      <c r="VBB35" s="39"/>
      <c r="VBC35" s="39"/>
      <c r="VBD35" s="39"/>
      <c r="VBE35" s="39"/>
      <c r="VBF35" s="39"/>
      <c r="VBG35" s="39"/>
      <c r="VBH35" s="39"/>
      <c r="VBI35" s="39"/>
      <c r="VBJ35" s="39"/>
      <c r="VBK35" s="39"/>
      <c r="VBL35" s="39"/>
      <c r="VBM35" s="39"/>
      <c r="VBN35" s="39"/>
      <c r="VBO35" s="39"/>
      <c r="VBP35" s="39"/>
      <c r="VBQ35" s="39"/>
      <c r="VBR35" s="39"/>
      <c r="VBS35" s="39"/>
      <c r="VBT35" s="39"/>
      <c r="VBU35" s="39"/>
      <c r="VBV35" s="39"/>
      <c r="VBW35" s="39"/>
      <c r="VBX35" s="39"/>
      <c r="VBY35" s="39"/>
      <c r="VBZ35" s="39"/>
      <c r="VCA35" s="39"/>
      <c r="VCB35" s="39"/>
      <c r="VCC35" s="39"/>
      <c r="VCD35" s="39"/>
      <c r="VCE35" s="39"/>
      <c r="VCF35" s="39"/>
      <c r="VCG35" s="39"/>
      <c r="VCH35" s="39"/>
      <c r="VCI35" s="39"/>
      <c r="VCJ35" s="39"/>
      <c r="VCK35" s="39"/>
      <c r="VCL35" s="39"/>
      <c r="VCM35" s="39"/>
      <c r="VCN35" s="39"/>
      <c r="VCO35" s="39"/>
      <c r="VCP35" s="39"/>
      <c r="VCQ35" s="39"/>
      <c r="VCR35" s="39"/>
      <c r="VCS35" s="39"/>
      <c r="VCT35" s="39"/>
      <c r="VCU35" s="39"/>
      <c r="VCV35" s="39"/>
      <c r="VCW35" s="39"/>
      <c r="VCX35" s="39"/>
      <c r="VCY35" s="39"/>
      <c r="VCZ35" s="39"/>
      <c r="VDA35" s="39"/>
      <c r="VDB35" s="39"/>
      <c r="VDC35" s="39"/>
      <c r="VDD35" s="39"/>
      <c r="VDE35" s="39"/>
      <c r="VDF35" s="39"/>
      <c r="VDG35" s="39"/>
      <c r="VDH35" s="39"/>
      <c r="VDI35" s="39"/>
      <c r="VDJ35" s="39"/>
      <c r="VDK35" s="39"/>
      <c r="VDL35" s="39"/>
      <c r="VDM35" s="39"/>
      <c r="VDN35" s="39"/>
      <c r="VDO35" s="39"/>
      <c r="VDP35" s="39"/>
      <c r="VDQ35" s="39"/>
      <c r="VDR35" s="39"/>
      <c r="VDS35" s="39"/>
      <c r="VDT35" s="39"/>
      <c r="VDU35" s="39"/>
      <c r="VDV35" s="39"/>
      <c r="VDW35" s="39"/>
      <c r="VDX35" s="39"/>
      <c r="VDY35" s="39"/>
      <c r="VDZ35" s="39"/>
      <c r="VEA35" s="39"/>
      <c r="VEB35" s="39"/>
      <c r="VEC35" s="39"/>
      <c r="VED35" s="39"/>
      <c r="VEE35" s="39"/>
      <c r="VEF35" s="39"/>
      <c r="VEG35" s="39"/>
      <c r="VEH35" s="39"/>
      <c r="VEI35" s="39"/>
      <c r="VEJ35" s="39"/>
      <c r="VEK35" s="39"/>
      <c r="VEL35" s="39"/>
      <c r="VEM35" s="39"/>
      <c r="VEN35" s="39"/>
      <c r="VEO35" s="39"/>
      <c r="VEP35" s="39"/>
      <c r="VEQ35" s="39"/>
      <c r="VER35" s="39"/>
      <c r="VES35" s="39"/>
      <c r="VET35" s="39"/>
      <c r="VEU35" s="39"/>
      <c r="VEV35" s="39"/>
      <c r="VEW35" s="39"/>
      <c r="VEX35" s="39"/>
      <c r="VEY35" s="39"/>
      <c r="VEZ35" s="39"/>
      <c r="VFA35" s="39"/>
      <c r="VFB35" s="39"/>
      <c r="VFC35" s="39"/>
      <c r="VFD35" s="39"/>
      <c r="VFE35" s="39"/>
      <c r="VFF35" s="39"/>
      <c r="VFG35" s="39"/>
      <c r="VFH35" s="39"/>
      <c r="VFI35" s="39"/>
      <c r="VFJ35" s="39"/>
      <c r="VFK35" s="39"/>
      <c r="VFL35" s="39"/>
      <c r="VFM35" s="39"/>
      <c r="VFN35" s="39"/>
      <c r="VFO35" s="39"/>
      <c r="VFP35" s="39"/>
      <c r="VFQ35" s="39"/>
      <c r="VFR35" s="39"/>
      <c r="VFS35" s="39"/>
      <c r="VFT35" s="39"/>
      <c r="VFU35" s="39"/>
      <c r="VFV35" s="39"/>
      <c r="VFW35" s="39"/>
      <c r="VFX35" s="39"/>
      <c r="VFY35" s="39"/>
      <c r="VFZ35" s="39"/>
      <c r="VGA35" s="39"/>
      <c r="VGB35" s="39"/>
      <c r="VGC35" s="39"/>
      <c r="VGD35" s="39"/>
      <c r="VGE35" s="39"/>
      <c r="VGF35" s="39"/>
      <c r="VGG35" s="39"/>
      <c r="VGH35" s="39"/>
      <c r="VGI35" s="39"/>
      <c r="VGJ35" s="39"/>
      <c r="VGK35" s="39"/>
      <c r="VGL35" s="39"/>
      <c r="VGM35" s="39"/>
      <c r="VGN35" s="39"/>
      <c r="VGO35" s="39"/>
      <c r="VGP35" s="39"/>
      <c r="VGQ35" s="39"/>
      <c r="VGR35" s="39"/>
      <c r="VGS35" s="39"/>
      <c r="VGT35" s="39"/>
      <c r="VGU35" s="39"/>
      <c r="VGV35" s="39"/>
      <c r="VGW35" s="39"/>
      <c r="VGX35" s="39"/>
      <c r="VGY35" s="39"/>
      <c r="VGZ35" s="39"/>
      <c r="VHA35" s="39"/>
      <c r="VHB35" s="39"/>
      <c r="VHC35" s="39"/>
      <c r="VHD35" s="39"/>
      <c r="VHE35" s="39"/>
      <c r="VHF35" s="39"/>
      <c r="VHG35" s="39"/>
      <c r="VHH35" s="39"/>
      <c r="VHI35" s="39"/>
      <c r="VHJ35" s="39"/>
      <c r="VHK35" s="39"/>
      <c r="VHL35" s="39"/>
      <c r="VHM35" s="39"/>
      <c r="VHN35" s="39"/>
      <c r="VHO35" s="39"/>
      <c r="VHP35" s="39"/>
      <c r="VHQ35" s="39"/>
      <c r="VHR35" s="39"/>
      <c r="VHS35" s="39"/>
      <c r="VHT35" s="39"/>
      <c r="VHU35" s="39"/>
      <c r="VHV35" s="39"/>
      <c r="VHW35" s="39"/>
      <c r="VHX35" s="39"/>
      <c r="VHY35" s="39"/>
      <c r="VHZ35" s="39"/>
      <c r="VIA35" s="39"/>
      <c r="VIB35" s="39"/>
      <c r="VIC35" s="39"/>
      <c r="VID35" s="39"/>
      <c r="VIE35" s="39"/>
      <c r="VIF35" s="39"/>
      <c r="VIG35" s="39"/>
      <c r="VIH35" s="39"/>
      <c r="VII35" s="39"/>
      <c r="VIJ35" s="39"/>
      <c r="VIK35" s="39"/>
      <c r="VIL35" s="39"/>
      <c r="VIM35" s="39"/>
      <c r="VIN35" s="39"/>
      <c r="VIO35" s="39"/>
      <c r="VIP35" s="39"/>
      <c r="VIQ35" s="39"/>
      <c r="VIR35" s="39"/>
      <c r="VIS35" s="39"/>
      <c r="VIT35" s="39"/>
      <c r="VIU35" s="39"/>
      <c r="VIV35" s="39"/>
      <c r="VIW35" s="39"/>
      <c r="VIX35" s="39"/>
      <c r="VIY35" s="39"/>
      <c r="VIZ35" s="39"/>
      <c r="VJA35" s="39"/>
      <c r="VJB35" s="39"/>
      <c r="VJC35" s="39"/>
      <c r="VJD35" s="39"/>
      <c r="VJE35" s="39"/>
      <c r="VJF35" s="39"/>
      <c r="VJG35" s="39"/>
      <c r="VJH35" s="39"/>
      <c r="VJI35" s="39"/>
      <c r="VJJ35" s="39"/>
      <c r="VJK35" s="39"/>
      <c r="VJL35" s="39"/>
      <c r="VJM35" s="39"/>
      <c r="VJN35" s="39"/>
      <c r="VJO35" s="39"/>
      <c r="VJP35" s="39"/>
      <c r="VJQ35" s="39"/>
      <c r="VJR35" s="39"/>
      <c r="VJS35" s="39"/>
      <c r="VJT35" s="39"/>
      <c r="VJU35" s="39"/>
      <c r="VJV35" s="39"/>
      <c r="VJW35" s="39"/>
      <c r="VJX35" s="39"/>
      <c r="VJY35" s="39"/>
      <c r="VJZ35" s="39"/>
      <c r="VKA35" s="39"/>
      <c r="VKB35" s="39"/>
      <c r="VKC35" s="39"/>
      <c r="VKD35" s="39"/>
      <c r="VKE35" s="39"/>
      <c r="VKF35" s="39"/>
      <c r="VKG35" s="39"/>
      <c r="VKH35" s="39"/>
      <c r="VKI35" s="39"/>
      <c r="VKJ35" s="39"/>
      <c r="VKK35" s="39"/>
      <c r="VKL35" s="39"/>
      <c r="VKM35" s="39"/>
      <c r="VKN35" s="39"/>
      <c r="VKO35" s="39"/>
      <c r="VKP35" s="39"/>
      <c r="VKQ35" s="39"/>
      <c r="VKR35" s="39"/>
      <c r="VKS35" s="39"/>
      <c r="VKT35" s="39"/>
      <c r="VKU35" s="39"/>
      <c r="VKV35" s="39"/>
      <c r="VKW35" s="39"/>
      <c r="VKX35" s="39"/>
      <c r="VKY35" s="39"/>
      <c r="VKZ35" s="39"/>
      <c r="VLA35" s="39"/>
      <c r="VLB35" s="39"/>
      <c r="VLC35" s="39"/>
      <c r="VLD35" s="39"/>
      <c r="VLE35" s="39"/>
      <c r="VLF35" s="39"/>
      <c r="VLG35" s="39"/>
      <c r="VLH35" s="39"/>
      <c r="VLI35" s="39"/>
      <c r="VLJ35" s="39"/>
      <c r="VLK35" s="39"/>
      <c r="VLL35" s="39"/>
      <c r="VLM35" s="39"/>
      <c r="VLN35" s="39"/>
      <c r="VLO35" s="39"/>
      <c r="VLP35" s="39"/>
      <c r="VLQ35" s="39"/>
      <c r="VLR35" s="39"/>
      <c r="VLS35" s="39"/>
      <c r="VLT35" s="39"/>
      <c r="VLU35" s="39"/>
      <c r="VLV35" s="39"/>
      <c r="VLW35" s="39"/>
      <c r="VLX35" s="39"/>
      <c r="VLY35" s="39"/>
      <c r="VLZ35" s="39"/>
      <c r="VMA35" s="39"/>
      <c r="VMB35" s="39"/>
      <c r="VMC35" s="39"/>
      <c r="VMD35" s="39"/>
      <c r="VME35" s="39"/>
      <c r="VMF35" s="39"/>
      <c r="VMG35" s="39"/>
      <c r="VMH35" s="39"/>
      <c r="VMI35" s="39"/>
      <c r="VMJ35" s="39"/>
      <c r="VMK35" s="39"/>
      <c r="VML35" s="39"/>
      <c r="VMM35" s="39"/>
      <c r="VMN35" s="39"/>
      <c r="VMO35" s="39"/>
      <c r="VMP35" s="39"/>
      <c r="VMQ35" s="39"/>
      <c r="VMR35" s="39"/>
      <c r="VMS35" s="39"/>
      <c r="VMT35" s="39"/>
      <c r="VMU35" s="39"/>
      <c r="VMV35" s="39"/>
      <c r="VMW35" s="39"/>
      <c r="VMX35" s="39"/>
      <c r="VMY35" s="39"/>
      <c r="VMZ35" s="39"/>
      <c r="VNA35" s="39"/>
      <c r="VNB35" s="39"/>
      <c r="VNC35" s="39"/>
      <c r="VND35" s="39"/>
      <c r="VNE35" s="39"/>
      <c r="VNF35" s="39"/>
      <c r="VNG35" s="39"/>
      <c r="VNH35" s="39"/>
      <c r="VNI35" s="39"/>
      <c r="VNJ35" s="39"/>
      <c r="VNK35" s="39"/>
      <c r="VNL35" s="39"/>
      <c r="VNM35" s="39"/>
      <c r="VNN35" s="39"/>
      <c r="VNO35" s="39"/>
      <c r="VNP35" s="39"/>
      <c r="VNQ35" s="39"/>
      <c r="VNR35" s="39"/>
      <c r="VNS35" s="39"/>
      <c r="VNT35" s="39"/>
      <c r="VNU35" s="39"/>
      <c r="VNV35" s="39"/>
      <c r="VNW35" s="39"/>
      <c r="VNX35" s="39"/>
      <c r="VNY35" s="39"/>
      <c r="VNZ35" s="39"/>
      <c r="VOA35" s="39"/>
      <c r="VOB35" s="39"/>
      <c r="VOC35" s="39"/>
      <c r="VOD35" s="39"/>
      <c r="VOE35" s="39"/>
      <c r="VOF35" s="39"/>
      <c r="VOG35" s="39"/>
      <c r="VOH35" s="39"/>
      <c r="VOI35" s="39"/>
      <c r="VOJ35" s="39"/>
      <c r="VOK35" s="39"/>
      <c r="VOL35" s="39"/>
      <c r="VOM35" s="39"/>
      <c r="VON35" s="39"/>
      <c r="VOO35" s="39"/>
      <c r="VOP35" s="39"/>
      <c r="VOQ35" s="39"/>
      <c r="VOR35" s="39"/>
      <c r="VOS35" s="39"/>
      <c r="VOT35" s="39"/>
      <c r="VOU35" s="39"/>
      <c r="VOV35" s="39"/>
      <c r="VOW35" s="39"/>
      <c r="VOX35" s="39"/>
      <c r="VOY35" s="39"/>
      <c r="VOZ35" s="39"/>
      <c r="VPA35" s="39"/>
      <c r="VPB35" s="39"/>
      <c r="VPC35" s="39"/>
      <c r="VPD35" s="39"/>
      <c r="VPE35" s="39"/>
      <c r="VPF35" s="39"/>
      <c r="VPG35" s="39"/>
      <c r="VPH35" s="39"/>
      <c r="VPI35" s="39"/>
      <c r="VPJ35" s="39"/>
      <c r="VPK35" s="39"/>
      <c r="VPL35" s="39"/>
      <c r="VPM35" s="39"/>
      <c r="VPN35" s="39"/>
      <c r="VPO35" s="39"/>
      <c r="VPP35" s="39"/>
      <c r="VPQ35" s="39"/>
      <c r="VPR35" s="39"/>
      <c r="VPS35" s="39"/>
      <c r="VPT35" s="39"/>
      <c r="VPU35" s="39"/>
      <c r="VPV35" s="39"/>
      <c r="VPW35" s="39"/>
      <c r="VPX35" s="39"/>
      <c r="VPY35" s="39"/>
      <c r="VPZ35" s="39"/>
      <c r="VQA35" s="39"/>
      <c r="VQB35" s="39"/>
      <c r="VQC35" s="39"/>
      <c r="VQD35" s="39"/>
      <c r="VQE35" s="39"/>
      <c r="VQF35" s="39"/>
      <c r="VQG35" s="39"/>
      <c r="VQH35" s="39"/>
      <c r="VQI35" s="39"/>
      <c r="VQJ35" s="39"/>
      <c r="VQK35" s="39"/>
      <c r="VQL35" s="39"/>
      <c r="VQM35" s="39"/>
      <c r="VQN35" s="39"/>
      <c r="VQO35" s="39"/>
      <c r="VQP35" s="39"/>
      <c r="VQQ35" s="39"/>
      <c r="VQR35" s="39"/>
      <c r="VQS35" s="39"/>
      <c r="VQT35" s="39"/>
      <c r="VQU35" s="39"/>
      <c r="VQV35" s="39"/>
      <c r="VQW35" s="39"/>
      <c r="VQX35" s="39"/>
      <c r="VQY35" s="39"/>
      <c r="VQZ35" s="39"/>
      <c r="VRA35" s="39"/>
      <c r="VRB35" s="39"/>
      <c r="VRC35" s="39"/>
      <c r="VRD35" s="39"/>
      <c r="VRE35" s="39"/>
      <c r="VRF35" s="39"/>
      <c r="VRG35" s="39"/>
      <c r="VRH35" s="39"/>
      <c r="VRI35" s="39"/>
      <c r="VRJ35" s="39"/>
      <c r="VRK35" s="39"/>
      <c r="VRL35" s="39"/>
      <c r="VRM35" s="39"/>
      <c r="VRN35" s="39"/>
      <c r="VRO35" s="39"/>
      <c r="VRP35" s="39"/>
      <c r="VRQ35" s="39"/>
      <c r="VRR35" s="39"/>
      <c r="VRS35" s="39"/>
      <c r="VRT35" s="39"/>
      <c r="VRU35" s="39"/>
      <c r="VRV35" s="39"/>
      <c r="VRW35" s="39"/>
      <c r="VRX35" s="39"/>
      <c r="VRY35" s="39"/>
      <c r="VRZ35" s="39"/>
      <c r="VSA35" s="39"/>
      <c r="VSB35" s="39"/>
      <c r="VSC35" s="39"/>
      <c r="VSD35" s="39"/>
      <c r="VSE35" s="39"/>
      <c r="VSF35" s="39"/>
      <c r="VSG35" s="39"/>
      <c r="VSH35" s="39"/>
      <c r="VSI35" s="39"/>
      <c r="VSJ35" s="39"/>
      <c r="VSK35" s="39"/>
      <c r="VSL35" s="39"/>
      <c r="VSM35" s="39"/>
      <c r="VSN35" s="39"/>
      <c r="VSO35" s="39"/>
      <c r="VSP35" s="39"/>
      <c r="VSQ35" s="39"/>
      <c r="VSR35" s="39"/>
      <c r="VSS35" s="39"/>
      <c r="VST35" s="39"/>
      <c r="VSU35" s="39"/>
      <c r="VSV35" s="39"/>
      <c r="VSW35" s="39"/>
      <c r="VSX35" s="39"/>
      <c r="VSY35" s="39"/>
      <c r="VSZ35" s="39"/>
      <c r="VTA35" s="39"/>
      <c r="VTB35" s="39"/>
      <c r="VTC35" s="39"/>
      <c r="VTD35" s="39"/>
      <c r="VTE35" s="39"/>
      <c r="VTF35" s="39"/>
      <c r="VTG35" s="39"/>
      <c r="VTH35" s="39"/>
      <c r="VTI35" s="39"/>
      <c r="VTJ35" s="39"/>
      <c r="VTK35" s="39"/>
      <c r="VTL35" s="39"/>
      <c r="VTM35" s="39"/>
      <c r="VTN35" s="39"/>
      <c r="VTO35" s="39"/>
      <c r="VTP35" s="39"/>
      <c r="VTQ35" s="39"/>
      <c r="VTR35" s="39"/>
      <c r="VTS35" s="39"/>
      <c r="VTT35" s="39"/>
      <c r="VTU35" s="39"/>
      <c r="VTV35" s="39"/>
      <c r="VTW35" s="39"/>
      <c r="VTX35" s="39"/>
      <c r="VTY35" s="39"/>
      <c r="VTZ35" s="39"/>
      <c r="VUA35" s="39"/>
      <c r="VUB35" s="39"/>
      <c r="VUC35" s="39"/>
      <c r="VUD35" s="39"/>
      <c r="VUE35" s="39"/>
      <c r="VUF35" s="39"/>
      <c r="VUG35" s="39"/>
      <c r="VUH35" s="39"/>
      <c r="VUI35" s="39"/>
      <c r="VUJ35" s="39"/>
      <c r="VUK35" s="39"/>
      <c r="VUL35" s="39"/>
      <c r="VUM35" s="39"/>
      <c r="VUN35" s="39"/>
      <c r="VUO35" s="39"/>
      <c r="VUP35" s="39"/>
      <c r="VUQ35" s="39"/>
      <c r="VUR35" s="39"/>
      <c r="VUS35" s="39"/>
      <c r="VUT35" s="39"/>
      <c r="VUU35" s="39"/>
      <c r="VUV35" s="39"/>
      <c r="VUW35" s="39"/>
      <c r="VUX35" s="39"/>
      <c r="VUY35" s="39"/>
      <c r="VUZ35" s="39"/>
      <c r="VVA35" s="39"/>
      <c r="VVB35" s="39"/>
      <c r="VVC35" s="39"/>
      <c r="VVD35" s="39"/>
      <c r="VVE35" s="39"/>
      <c r="VVF35" s="39"/>
      <c r="VVG35" s="39"/>
      <c r="VVH35" s="39"/>
      <c r="VVI35" s="39"/>
      <c r="VVJ35" s="39"/>
      <c r="VVK35" s="39"/>
      <c r="VVL35" s="39"/>
      <c r="VVM35" s="39"/>
      <c r="VVN35" s="39"/>
      <c r="VVO35" s="39"/>
      <c r="VVP35" s="39"/>
      <c r="VVQ35" s="39"/>
      <c r="VVR35" s="39"/>
      <c r="VVS35" s="39"/>
      <c r="VVT35" s="39"/>
      <c r="VVU35" s="39"/>
      <c r="VVV35" s="39"/>
      <c r="VVW35" s="39"/>
      <c r="VVX35" s="39"/>
      <c r="VVY35" s="39"/>
      <c r="VVZ35" s="39"/>
      <c r="VWA35" s="39"/>
      <c r="VWB35" s="39"/>
      <c r="VWC35" s="39"/>
      <c r="VWD35" s="39"/>
      <c r="VWE35" s="39"/>
      <c r="VWF35" s="39"/>
      <c r="VWG35" s="39"/>
      <c r="VWH35" s="39"/>
      <c r="VWI35" s="39"/>
      <c r="VWJ35" s="39"/>
      <c r="VWK35" s="39"/>
      <c r="VWL35" s="39"/>
      <c r="VWM35" s="39"/>
      <c r="VWN35" s="39"/>
      <c r="VWO35" s="39"/>
      <c r="VWP35" s="39"/>
      <c r="VWQ35" s="39"/>
      <c r="VWR35" s="39"/>
      <c r="VWS35" s="39"/>
      <c r="VWT35" s="39"/>
      <c r="VWU35" s="39"/>
      <c r="VWV35" s="39"/>
      <c r="VWW35" s="39"/>
      <c r="VWX35" s="39"/>
      <c r="VWY35" s="39"/>
      <c r="VWZ35" s="39"/>
      <c r="VXA35" s="39"/>
      <c r="VXB35" s="39"/>
      <c r="VXC35" s="39"/>
      <c r="VXD35" s="39"/>
      <c r="VXE35" s="39"/>
      <c r="VXF35" s="39"/>
      <c r="VXG35" s="39"/>
      <c r="VXH35" s="39"/>
      <c r="VXI35" s="39"/>
      <c r="VXJ35" s="39"/>
      <c r="VXK35" s="39"/>
      <c r="VXL35" s="39"/>
      <c r="VXM35" s="39"/>
      <c r="VXN35" s="39"/>
      <c r="VXO35" s="39"/>
      <c r="VXP35" s="39"/>
      <c r="VXQ35" s="39"/>
      <c r="VXR35" s="39"/>
      <c r="VXS35" s="39"/>
      <c r="VXT35" s="39"/>
      <c r="VXU35" s="39"/>
      <c r="VXV35" s="39"/>
      <c r="VXW35" s="39"/>
      <c r="VXX35" s="39"/>
      <c r="VXY35" s="39"/>
      <c r="VXZ35" s="39"/>
      <c r="VYA35" s="39"/>
      <c r="VYB35" s="39"/>
      <c r="VYC35" s="39"/>
      <c r="VYD35" s="39"/>
      <c r="VYE35" s="39"/>
      <c r="VYF35" s="39"/>
      <c r="VYG35" s="39"/>
      <c r="VYH35" s="39"/>
      <c r="VYI35" s="39"/>
      <c r="VYJ35" s="39"/>
      <c r="VYK35" s="39"/>
      <c r="VYL35" s="39"/>
      <c r="VYM35" s="39"/>
      <c r="VYN35" s="39"/>
      <c r="VYO35" s="39"/>
      <c r="VYP35" s="39"/>
      <c r="VYQ35" s="39"/>
      <c r="VYR35" s="39"/>
      <c r="VYS35" s="39"/>
      <c r="VYT35" s="39"/>
      <c r="VYU35" s="39"/>
      <c r="VYV35" s="39"/>
      <c r="VYW35" s="39"/>
      <c r="VYX35" s="39"/>
      <c r="VYY35" s="39"/>
      <c r="VYZ35" s="39"/>
      <c r="VZA35" s="39"/>
      <c r="VZB35" s="39"/>
      <c r="VZC35" s="39"/>
      <c r="VZD35" s="39"/>
      <c r="VZE35" s="39"/>
      <c r="VZF35" s="39"/>
      <c r="VZG35" s="39"/>
      <c r="VZH35" s="39"/>
      <c r="VZI35" s="39"/>
      <c r="VZJ35" s="39"/>
      <c r="VZK35" s="39"/>
      <c r="VZL35" s="39"/>
      <c r="VZM35" s="39"/>
      <c r="VZN35" s="39"/>
      <c r="VZO35" s="39"/>
      <c r="VZP35" s="39"/>
      <c r="VZQ35" s="39"/>
      <c r="VZR35" s="39"/>
      <c r="VZS35" s="39"/>
      <c r="VZT35" s="39"/>
      <c r="VZU35" s="39"/>
      <c r="VZV35" s="39"/>
      <c r="VZW35" s="39"/>
      <c r="VZX35" s="39"/>
      <c r="VZY35" s="39"/>
      <c r="VZZ35" s="39"/>
      <c r="WAA35" s="39"/>
      <c r="WAB35" s="39"/>
      <c r="WAC35" s="39"/>
      <c r="WAD35" s="39"/>
      <c r="WAE35" s="39"/>
      <c r="WAF35" s="39"/>
      <c r="WAG35" s="39"/>
      <c r="WAH35" s="39"/>
      <c r="WAI35" s="39"/>
      <c r="WAJ35" s="39"/>
      <c r="WAK35" s="39"/>
      <c r="WAL35" s="39"/>
      <c r="WAM35" s="39"/>
      <c r="WAN35" s="39"/>
      <c r="WAO35" s="39"/>
      <c r="WAP35" s="39"/>
      <c r="WAQ35" s="39"/>
      <c r="WAR35" s="39"/>
      <c r="WAS35" s="39"/>
      <c r="WAT35" s="39"/>
      <c r="WAU35" s="39"/>
      <c r="WAV35" s="39"/>
      <c r="WAW35" s="39"/>
      <c r="WAX35" s="39"/>
      <c r="WAY35" s="39"/>
      <c r="WAZ35" s="39"/>
      <c r="WBA35" s="39"/>
      <c r="WBB35" s="39"/>
      <c r="WBC35" s="39"/>
      <c r="WBD35" s="39"/>
      <c r="WBE35" s="39"/>
      <c r="WBF35" s="39"/>
      <c r="WBG35" s="39"/>
      <c r="WBH35" s="39"/>
      <c r="WBI35" s="39"/>
      <c r="WBJ35" s="39"/>
      <c r="WBK35" s="39"/>
      <c r="WBL35" s="39"/>
      <c r="WBM35" s="39"/>
      <c r="WBN35" s="39"/>
      <c r="WBO35" s="39"/>
      <c r="WBP35" s="39"/>
      <c r="WBQ35" s="39"/>
      <c r="WBR35" s="39"/>
      <c r="WBS35" s="39"/>
      <c r="WBT35" s="39"/>
      <c r="WBU35" s="39"/>
      <c r="WBV35" s="39"/>
      <c r="WBW35" s="39"/>
      <c r="WBX35" s="39"/>
      <c r="WBY35" s="39"/>
      <c r="WBZ35" s="39"/>
      <c r="WCA35" s="39"/>
      <c r="WCB35" s="39"/>
      <c r="WCC35" s="39"/>
      <c r="WCD35" s="39"/>
      <c r="WCE35" s="39"/>
      <c r="WCF35" s="39"/>
      <c r="WCG35" s="39"/>
      <c r="WCH35" s="39"/>
      <c r="WCI35" s="39"/>
      <c r="WCJ35" s="39"/>
      <c r="WCK35" s="39"/>
      <c r="WCL35" s="39"/>
      <c r="WCM35" s="39"/>
      <c r="WCN35" s="39"/>
      <c r="WCO35" s="39"/>
      <c r="WCP35" s="39"/>
      <c r="WCQ35" s="39"/>
      <c r="WCR35" s="39"/>
      <c r="WCS35" s="39"/>
      <c r="WCT35" s="39"/>
      <c r="WCU35" s="39"/>
      <c r="WCV35" s="39"/>
      <c r="WCW35" s="39"/>
      <c r="WCX35" s="39"/>
      <c r="WCY35" s="39"/>
      <c r="WCZ35" s="39"/>
      <c r="WDA35" s="39"/>
      <c r="WDB35" s="39"/>
      <c r="WDC35" s="39"/>
      <c r="WDD35" s="39"/>
      <c r="WDE35" s="39"/>
      <c r="WDF35" s="39"/>
      <c r="WDG35" s="39"/>
      <c r="WDH35" s="39"/>
      <c r="WDI35" s="39"/>
      <c r="WDJ35" s="39"/>
      <c r="WDK35" s="39"/>
      <c r="WDL35" s="39"/>
      <c r="WDM35" s="39"/>
      <c r="WDN35" s="39"/>
      <c r="WDO35" s="39"/>
      <c r="WDP35" s="39"/>
      <c r="WDQ35" s="39"/>
      <c r="WDR35" s="39"/>
      <c r="WDS35" s="39"/>
      <c r="WDT35" s="39"/>
      <c r="WDU35" s="39"/>
      <c r="WDV35" s="39"/>
      <c r="WDW35" s="39"/>
      <c r="WDX35" s="39"/>
      <c r="WDY35" s="39"/>
      <c r="WDZ35" s="39"/>
      <c r="WEA35" s="39"/>
      <c r="WEB35" s="39"/>
      <c r="WEC35" s="39"/>
      <c r="WED35" s="39"/>
      <c r="WEE35" s="39"/>
      <c r="WEF35" s="39"/>
      <c r="WEG35" s="39"/>
      <c r="WEH35" s="39"/>
      <c r="WEI35" s="39"/>
      <c r="WEJ35" s="39"/>
      <c r="WEK35" s="39"/>
      <c r="WEL35" s="39"/>
      <c r="WEM35" s="39"/>
      <c r="WEN35" s="39"/>
      <c r="WEO35" s="39"/>
      <c r="WEP35" s="39"/>
      <c r="WEQ35" s="39"/>
      <c r="WER35" s="39"/>
      <c r="WES35" s="39"/>
      <c r="WET35" s="39"/>
      <c r="WEU35" s="39"/>
      <c r="WEV35" s="39"/>
      <c r="WEW35" s="39"/>
      <c r="WEX35" s="39"/>
      <c r="WEY35" s="39"/>
      <c r="WEZ35" s="39"/>
      <c r="WFA35" s="39"/>
      <c r="WFB35" s="39"/>
      <c r="WFC35" s="39"/>
      <c r="WFD35" s="39"/>
      <c r="WFE35" s="39"/>
      <c r="WFF35" s="39"/>
      <c r="WFG35" s="39"/>
      <c r="WFH35" s="39"/>
      <c r="WFI35" s="39"/>
      <c r="WFJ35" s="39"/>
      <c r="WFK35" s="39"/>
      <c r="WFL35" s="39"/>
      <c r="WFM35" s="39"/>
      <c r="WFN35" s="39"/>
      <c r="WFO35" s="39"/>
      <c r="WFP35" s="39"/>
      <c r="WFQ35" s="39"/>
      <c r="WFR35" s="39"/>
      <c r="WFS35" s="39"/>
      <c r="WFT35" s="39"/>
      <c r="WFU35" s="39"/>
      <c r="WFV35" s="39"/>
      <c r="WFW35" s="39"/>
      <c r="WFX35" s="39"/>
      <c r="WFY35" s="39"/>
      <c r="WFZ35" s="39"/>
      <c r="WGA35" s="39"/>
      <c r="WGB35" s="39"/>
      <c r="WGC35" s="39"/>
      <c r="WGD35" s="39"/>
      <c r="WGE35" s="39"/>
      <c r="WGF35" s="39"/>
      <c r="WGG35" s="39"/>
      <c r="WGH35" s="39"/>
      <c r="WGI35" s="39"/>
      <c r="WGJ35" s="39"/>
      <c r="WGK35" s="39"/>
      <c r="WGL35" s="39"/>
      <c r="WGM35" s="39"/>
      <c r="WGN35" s="39"/>
      <c r="WGO35" s="39"/>
      <c r="WGP35" s="39"/>
      <c r="WGQ35" s="39"/>
      <c r="WGR35" s="39"/>
      <c r="WGS35" s="39"/>
      <c r="WGT35" s="39"/>
      <c r="WGU35" s="39"/>
      <c r="WGV35" s="39"/>
      <c r="WGW35" s="39"/>
      <c r="WGX35" s="39"/>
      <c r="WGY35" s="39"/>
      <c r="WGZ35" s="39"/>
      <c r="WHA35" s="39"/>
      <c r="WHB35" s="39"/>
      <c r="WHC35" s="39"/>
      <c r="WHD35" s="39"/>
      <c r="WHE35" s="39"/>
      <c r="WHF35" s="39"/>
      <c r="WHG35" s="39"/>
      <c r="WHH35" s="39"/>
      <c r="WHI35" s="39"/>
      <c r="WHJ35" s="39"/>
      <c r="WHK35" s="39"/>
      <c r="WHL35" s="39"/>
      <c r="WHM35" s="39"/>
      <c r="WHN35" s="39"/>
      <c r="WHO35" s="39"/>
      <c r="WHP35" s="39"/>
      <c r="WHQ35" s="39"/>
      <c r="WHR35" s="39"/>
      <c r="WHS35" s="39"/>
      <c r="WHT35" s="39"/>
      <c r="WHU35" s="39"/>
      <c r="WHV35" s="39"/>
      <c r="WHW35" s="39"/>
      <c r="WHX35" s="39"/>
      <c r="WHY35" s="39"/>
      <c r="WHZ35" s="39"/>
      <c r="WIA35" s="39"/>
      <c r="WIB35" s="39"/>
      <c r="WIC35" s="39"/>
      <c r="WID35" s="39"/>
      <c r="WIE35" s="39"/>
      <c r="WIF35" s="39"/>
      <c r="WIG35" s="39"/>
      <c r="WIH35" s="39"/>
      <c r="WII35" s="39"/>
      <c r="WIJ35" s="39"/>
      <c r="WIK35" s="39"/>
      <c r="WIL35" s="39"/>
      <c r="WIM35" s="39"/>
      <c r="WIN35" s="39"/>
      <c r="WIO35" s="39"/>
      <c r="WIP35" s="39"/>
      <c r="WIQ35" s="39"/>
      <c r="WIR35" s="39"/>
      <c r="WIS35" s="39"/>
      <c r="WIT35" s="39"/>
      <c r="WIU35" s="39"/>
      <c r="WIV35" s="39"/>
      <c r="WIW35" s="39"/>
      <c r="WIX35" s="39"/>
      <c r="WIY35" s="39"/>
      <c r="WIZ35" s="39"/>
      <c r="WJA35" s="39"/>
      <c r="WJB35" s="39"/>
      <c r="WJC35" s="39"/>
      <c r="WJD35" s="39"/>
      <c r="WJE35" s="39"/>
      <c r="WJF35" s="39"/>
      <c r="WJG35" s="39"/>
      <c r="WJH35" s="39"/>
      <c r="WJI35" s="39"/>
      <c r="WJJ35" s="39"/>
      <c r="WJK35" s="39"/>
      <c r="WJL35" s="39"/>
      <c r="WJM35" s="39"/>
      <c r="WJN35" s="39"/>
      <c r="WJO35" s="39"/>
      <c r="WJP35" s="39"/>
      <c r="WJQ35" s="39"/>
      <c r="WJR35" s="39"/>
      <c r="WJS35" s="39"/>
      <c r="WJT35" s="39"/>
      <c r="WJU35" s="39"/>
      <c r="WJV35" s="39"/>
      <c r="WJW35" s="39"/>
      <c r="WJX35" s="39"/>
      <c r="WJY35" s="39"/>
      <c r="WJZ35" s="39"/>
      <c r="WKA35" s="39"/>
      <c r="WKB35" s="39"/>
      <c r="WKC35" s="39"/>
      <c r="WKD35" s="39"/>
      <c r="WKE35" s="39"/>
      <c r="WKF35" s="39"/>
      <c r="WKG35" s="39"/>
      <c r="WKH35" s="39"/>
      <c r="WKI35" s="39"/>
      <c r="WKJ35" s="39"/>
      <c r="WKK35" s="39"/>
      <c r="WKL35" s="39"/>
      <c r="WKM35" s="39"/>
      <c r="WKN35" s="39"/>
      <c r="WKO35" s="39"/>
      <c r="WKP35" s="39"/>
      <c r="WKQ35" s="39"/>
      <c r="WKR35" s="39"/>
      <c r="WKS35" s="39"/>
      <c r="WKT35" s="39"/>
      <c r="WKU35" s="39"/>
      <c r="WKV35" s="39"/>
      <c r="WKW35" s="39"/>
      <c r="WKX35" s="39"/>
      <c r="WKY35" s="39"/>
      <c r="WKZ35" s="39"/>
      <c r="WLA35" s="39"/>
      <c r="WLB35" s="39"/>
      <c r="WLC35" s="39"/>
      <c r="WLD35" s="39"/>
      <c r="WLE35" s="39"/>
      <c r="WLF35" s="39"/>
      <c r="WLG35" s="39"/>
      <c r="WLH35" s="39"/>
      <c r="WLI35" s="39"/>
      <c r="WLJ35" s="39"/>
      <c r="WLK35" s="39"/>
      <c r="WLL35" s="39"/>
      <c r="WLM35" s="39"/>
      <c r="WLN35" s="39"/>
      <c r="WLO35" s="39"/>
      <c r="WLP35" s="39"/>
      <c r="WLQ35" s="39"/>
      <c r="WLR35" s="39"/>
      <c r="WLS35" s="39"/>
      <c r="WLT35" s="39"/>
      <c r="WLU35" s="39"/>
      <c r="WLV35" s="39"/>
      <c r="WLW35" s="39"/>
      <c r="WLX35" s="39"/>
      <c r="WLY35" s="39"/>
      <c r="WLZ35" s="39"/>
      <c r="WMA35" s="39"/>
      <c r="WMB35" s="39"/>
      <c r="WMC35" s="39"/>
      <c r="WMD35" s="39"/>
      <c r="WME35" s="39"/>
      <c r="WMF35" s="39"/>
      <c r="WMG35" s="39"/>
      <c r="WMH35" s="39"/>
      <c r="WMI35" s="39"/>
      <c r="WMJ35" s="39"/>
      <c r="WMK35" s="39"/>
      <c r="WML35" s="39"/>
      <c r="WMM35" s="39"/>
      <c r="WMN35" s="39"/>
      <c r="WMO35" s="39"/>
      <c r="WMP35" s="39"/>
      <c r="WMQ35" s="39"/>
      <c r="WMR35" s="39"/>
      <c r="WMS35" s="39"/>
      <c r="WMT35" s="39"/>
      <c r="WMU35" s="39"/>
      <c r="WMV35" s="39"/>
      <c r="WMW35" s="39"/>
      <c r="WMX35" s="39"/>
      <c r="WMY35" s="39"/>
      <c r="WMZ35" s="39"/>
      <c r="WNA35" s="39"/>
      <c r="WNB35" s="39"/>
      <c r="WNC35" s="39"/>
      <c r="WND35" s="39"/>
      <c r="WNE35" s="39"/>
      <c r="WNF35" s="39"/>
      <c r="WNG35" s="39"/>
      <c r="WNH35" s="39"/>
      <c r="WNI35" s="39"/>
      <c r="WNJ35" s="39"/>
      <c r="WNK35" s="39"/>
      <c r="WNL35" s="39"/>
      <c r="WNM35" s="39"/>
      <c r="WNN35" s="39"/>
      <c r="WNO35" s="39"/>
      <c r="WNP35" s="39"/>
      <c r="WNQ35" s="39"/>
      <c r="WNR35" s="39"/>
      <c r="WNS35" s="39"/>
      <c r="WNT35" s="39"/>
      <c r="WNU35" s="39"/>
      <c r="WNV35" s="39"/>
      <c r="WNW35" s="39"/>
      <c r="WNX35" s="39"/>
      <c r="WNY35" s="39"/>
      <c r="WNZ35" s="39"/>
      <c r="WOA35" s="39"/>
      <c r="WOB35" s="39"/>
      <c r="WOC35" s="39"/>
      <c r="WOD35" s="39"/>
      <c r="WOE35" s="39"/>
      <c r="WOF35" s="39"/>
      <c r="WOG35" s="39"/>
      <c r="WOH35" s="39"/>
      <c r="WOI35" s="39"/>
      <c r="WOJ35" s="39"/>
      <c r="WOK35" s="39"/>
      <c r="WOL35" s="39"/>
      <c r="WOM35" s="39"/>
      <c r="WON35" s="39"/>
      <c r="WOO35" s="39"/>
      <c r="WOP35" s="39"/>
      <c r="WOQ35" s="39"/>
      <c r="WOR35" s="39"/>
      <c r="WOS35" s="39"/>
      <c r="WOT35" s="39"/>
      <c r="WOU35" s="39"/>
      <c r="WOV35" s="39"/>
      <c r="WOW35" s="39"/>
      <c r="WOX35" s="39"/>
      <c r="WOY35" s="39"/>
      <c r="WOZ35" s="39"/>
      <c r="WPA35" s="39"/>
      <c r="WPB35" s="39"/>
      <c r="WPC35" s="39"/>
      <c r="WPD35" s="39"/>
      <c r="WPE35" s="39"/>
      <c r="WPF35" s="39"/>
      <c r="WPG35" s="39"/>
      <c r="WPH35" s="39"/>
      <c r="WPI35" s="39"/>
      <c r="WPJ35" s="39"/>
      <c r="WPK35" s="39"/>
      <c r="WPL35" s="39"/>
      <c r="WPM35" s="39"/>
      <c r="WPN35" s="39"/>
      <c r="WPO35" s="39"/>
      <c r="WPP35" s="39"/>
      <c r="WPQ35" s="39"/>
      <c r="WPR35" s="39"/>
      <c r="WPS35" s="39"/>
      <c r="WPT35" s="39"/>
      <c r="WPU35" s="39"/>
      <c r="WPV35" s="39"/>
      <c r="WPW35" s="39"/>
      <c r="WPX35" s="39"/>
      <c r="WPY35" s="39"/>
      <c r="WPZ35" s="39"/>
      <c r="WQA35" s="39"/>
      <c r="WQB35" s="39"/>
      <c r="WQC35" s="39"/>
      <c r="WQD35" s="39"/>
      <c r="WQE35" s="39"/>
      <c r="WQF35" s="39"/>
      <c r="WQG35" s="39"/>
      <c r="WQH35" s="39"/>
      <c r="WQI35" s="39"/>
      <c r="WQJ35" s="39"/>
      <c r="WQK35" s="39"/>
      <c r="WQL35" s="39"/>
      <c r="WQM35" s="39"/>
      <c r="WQN35" s="39"/>
      <c r="WQO35" s="39"/>
      <c r="WQP35" s="39"/>
      <c r="WQQ35" s="39"/>
      <c r="WQR35" s="39"/>
      <c r="WQS35" s="39"/>
      <c r="WQT35" s="39"/>
      <c r="WQU35" s="39"/>
      <c r="WQV35" s="39"/>
      <c r="WQW35" s="39"/>
      <c r="WQX35" s="39"/>
      <c r="WQY35" s="39"/>
      <c r="WQZ35" s="39"/>
      <c r="WRA35" s="39"/>
      <c r="WRB35" s="39"/>
      <c r="WRC35" s="39"/>
      <c r="WRD35" s="39"/>
      <c r="WRE35" s="39"/>
      <c r="WRF35" s="39"/>
      <c r="WRG35" s="39"/>
      <c r="WRH35" s="39"/>
      <c r="WRI35" s="39"/>
      <c r="WRJ35" s="39"/>
      <c r="WRK35" s="39"/>
      <c r="WRL35" s="39"/>
      <c r="WRM35" s="39"/>
      <c r="WRN35" s="39"/>
      <c r="WRO35" s="39"/>
      <c r="WRP35" s="39"/>
      <c r="WRQ35" s="39"/>
      <c r="WRR35" s="39"/>
      <c r="WRS35" s="39"/>
      <c r="WRT35" s="39"/>
      <c r="WRU35" s="39"/>
      <c r="WRV35" s="39"/>
      <c r="WRW35" s="39"/>
      <c r="WRX35" s="39"/>
      <c r="WRY35" s="39"/>
      <c r="WRZ35" s="39"/>
      <c r="WSA35" s="39"/>
      <c r="WSB35" s="39"/>
      <c r="WSC35" s="39"/>
      <c r="WSD35" s="39"/>
      <c r="WSE35" s="39"/>
      <c r="WSF35" s="39"/>
      <c r="WSG35" s="39"/>
      <c r="WSH35" s="39"/>
      <c r="WSI35" s="39"/>
      <c r="WSJ35" s="39"/>
      <c r="WSK35" s="39"/>
      <c r="WSL35" s="39"/>
      <c r="WSM35" s="39"/>
      <c r="WSN35" s="39"/>
      <c r="WSO35" s="39"/>
      <c r="WSP35" s="39"/>
      <c r="WSQ35" s="39"/>
      <c r="WSR35" s="39"/>
      <c r="WSS35" s="39"/>
      <c r="WST35" s="39"/>
      <c r="WSU35" s="39"/>
      <c r="WSV35" s="39"/>
      <c r="WSW35" s="39"/>
      <c r="WSX35" s="39"/>
      <c r="WSY35" s="39"/>
      <c r="WSZ35" s="39"/>
      <c r="WTA35" s="39"/>
      <c r="WTB35" s="39"/>
      <c r="WTC35" s="39"/>
      <c r="WTD35" s="39"/>
      <c r="WTE35" s="39"/>
      <c r="WTF35" s="39"/>
      <c r="WTG35" s="39"/>
      <c r="WTH35" s="39"/>
      <c r="WTI35" s="39"/>
      <c r="WTJ35" s="39"/>
      <c r="WTK35" s="39"/>
      <c r="WTL35" s="39"/>
      <c r="WTM35" s="39"/>
      <c r="WTN35" s="39"/>
      <c r="WTO35" s="39"/>
      <c r="WTP35" s="39"/>
      <c r="WTQ35" s="39"/>
      <c r="WTR35" s="39"/>
      <c r="WTS35" s="39"/>
      <c r="WTT35" s="39"/>
      <c r="WTU35" s="39"/>
      <c r="WTV35" s="39"/>
      <c r="WTW35" s="39"/>
      <c r="WTX35" s="39"/>
      <c r="WTY35" s="39"/>
      <c r="WTZ35" s="39"/>
      <c r="WUA35" s="39"/>
      <c r="WUB35" s="39"/>
      <c r="WUC35" s="39"/>
      <c r="WUD35" s="39"/>
      <c r="WUE35" s="39"/>
      <c r="WUF35" s="39"/>
      <c r="WUG35" s="39"/>
      <c r="WUH35" s="39"/>
      <c r="WUI35" s="39"/>
      <c r="WUJ35" s="39"/>
      <c r="WUK35" s="39"/>
      <c r="WUL35" s="39"/>
      <c r="WUM35" s="39"/>
      <c r="WUN35" s="39"/>
      <c r="WUO35" s="39"/>
      <c r="WUP35" s="39"/>
      <c r="WUQ35" s="39"/>
      <c r="WUR35" s="39"/>
      <c r="WUS35" s="39"/>
      <c r="WUT35" s="39"/>
      <c r="WUU35" s="39"/>
      <c r="WUV35" s="39"/>
      <c r="WUW35" s="39"/>
      <c r="WUX35" s="39"/>
      <c r="WUY35" s="39"/>
      <c r="WUZ35" s="39"/>
      <c r="WVA35" s="39"/>
      <c r="WVB35" s="39"/>
      <c r="WVC35" s="39"/>
      <c r="WVD35" s="39"/>
      <c r="WVE35" s="39"/>
      <c r="WVF35" s="39"/>
      <c r="WVG35" s="39"/>
      <c r="WVH35" s="39"/>
      <c r="WVI35" s="39"/>
      <c r="WVJ35" s="39"/>
      <c r="WVK35" s="39"/>
      <c r="WVL35" s="39"/>
      <c r="WVM35" s="39"/>
      <c r="WVN35" s="39"/>
      <c r="WVO35" s="39"/>
      <c r="WVP35" s="39"/>
      <c r="WVQ35" s="39"/>
      <c r="WVR35" s="39"/>
      <c r="WVS35" s="39"/>
      <c r="WVT35" s="39"/>
      <c r="WVU35" s="39"/>
      <c r="WVV35" s="39"/>
      <c r="WVW35" s="39"/>
      <c r="WVX35" s="39"/>
      <c r="WVY35" s="39"/>
      <c r="WVZ35" s="39"/>
      <c r="WWA35" s="39"/>
      <c r="WWB35" s="39"/>
      <c r="WWC35" s="39"/>
      <c r="WWD35" s="39"/>
      <c r="WWE35" s="39"/>
      <c r="WWF35" s="39"/>
      <c r="WWG35" s="39"/>
      <c r="WWH35" s="39"/>
      <c r="WWI35" s="39"/>
      <c r="WWJ35" s="39"/>
      <c r="WWK35" s="39"/>
      <c r="WWL35" s="39"/>
      <c r="WWM35" s="39"/>
      <c r="WWN35" s="39"/>
      <c r="WWO35" s="39"/>
      <c r="WWP35" s="39"/>
      <c r="WWQ35" s="39"/>
      <c r="WWR35" s="39"/>
      <c r="WWS35" s="39"/>
      <c r="WWT35" s="39"/>
      <c r="WWU35" s="39"/>
      <c r="WWV35" s="39"/>
      <c r="WWW35" s="39"/>
      <c r="WWX35" s="39"/>
      <c r="WWY35" s="39"/>
      <c r="WWZ35" s="39"/>
      <c r="WXA35" s="39"/>
      <c r="WXB35" s="39"/>
      <c r="WXC35" s="39"/>
      <c r="WXD35" s="39"/>
      <c r="WXE35" s="39"/>
      <c r="WXF35" s="39"/>
      <c r="WXG35" s="39"/>
      <c r="WXH35" s="39"/>
      <c r="WXI35" s="39"/>
      <c r="WXJ35" s="39"/>
      <c r="WXK35" s="39"/>
      <c r="WXL35" s="39"/>
      <c r="WXM35" s="39"/>
      <c r="WXN35" s="39"/>
      <c r="WXO35" s="39"/>
      <c r="WXP35" s="39"/>
      <c r="WXQ35" s="39"/>
      <c r="WXR35" s="39"/>
      <c r="WXS35" s="39"/>
      <c r="WXT35" s="39"/>
      <c r="WXU35" s="39"/>
      <c r="WXV35" s="39"/>
      <c r="WXW35" s="39"/>
      <c r="WXX35" s="39"/>
      <c r="WXY35" s="39"/>
      <c r="WXZ35" s="39"/>
      <c r="WYA35" s="39"/>
      <c r="WYB35" s="39"/>
      <c r="WYC35" s="39"/>
      <c r="WYD35" s="39"/>
      <c r="WYE35" s="39"/>
      <c r="WYF35" s="39"/>
      <c r="WYG35" s="39"/>
      <c r="WYH35" s="39"/>
      <c r="WYI35" s="39"/>
      <c r="WYJ35" s="39"/>
      <c r="WYK35" s="39"/>
      <c r="WYL35" s="39"/>
      <c r="WYM35" s="39"/>
      <c r="WYN35" s="39"/>
      <c r="WYO35" s="39"/>
      <c r="WYP35" s="39"/>
      <c r="WYQ35" s="39"/>
      <c r="WYR35" s="39"/>
      <c r="WYS35" s="39"/>
      <c r="WYT35" s="39"/>
      <c r="WYU35" s="39"/>
      <c r="WYV35" s="39"/>
      <c r="WYW35" s="39"/>
      <c r="WYX35" s="39"/>
      <c r="WYY35" s="39"/>
      <c r="WYZ35" s="39"/>
      <c r="WZA35" s="39"/>
      <c r="WZB35" s="39"/>
      <c r="WZC35" s="39"/>
      <c r="WZD35" s="39"/>
      <c r="WZE35" s="39"/>
      <c r="WZF35" s="39"/>
      <c r="WZG35" s="39"/>
      <c r="WZH35" s="39"/>
      <c r="WZI35" s="39"/>
      <c r="WZJ35" s="39"/>
      <c r="WZK35" s="39"/>
      <c r="WZL35" s="39"/>
      <c r="WZM35" s="39"/>
      <c r="WZN35" s="39"/>
      <c r="WZO35" s="39"/>
      <c r="WZP35" s="39"/>
      <c r="WZQ35" s="39"/>
      <c r="WZR35" s="39"/>
      <c r="WZS35" s="39"/>
      <c r="WZT35" s="39"/>
      <c r="WZU35" s="39"/>
      <c r="WZV35" s="39"/>
      <c r="WZW35" s="39"/>
      <c r="WZX35" s="39"/>
      <c r="WZY35" s="39"/>
      <c r="WZZ35" s="39"/>
      <c r="XAA35" s="39"/>
      <c r="XAB35" s="39"/>
      <c r="XAC35" s="39"/>
      <c r="XAD35" s="39"/>
      <c r="XAE35" s="39"/>
      <c r="XAF35" s="39"/>
      <c r="XAG35" s="39"/>
      <c r="XAH35" s="39"/>
      <c r="XAI35" s="39"/>
      <c r="XAJ35" s="39"/>
      <c r="XAK35" s="39"/>
      <c r="XAL35" s="39"/>
      <c r="XAM35" s="39"/>
      <c r="XAN35" s="39"/>
      <c r="XAO35" s="39"/>
      <c r="XAP35" s="39"/>
      <c r="XAQ35" s="39"/>
      <c r="XAR35" s="39"/>
      <c r="XAS35" s="39"/>
      <c r="XAT35" s="39"/>
      <c r="XAU35" s="39"/>
      <c r="XAV35" s="39"/>
      <c r="XAW35" s="39"/>
      <c r="XAX35" s="39"/>
      <c r="XAY35" s="39"/>
      <c r="XAZ35" s="39"/>
      <c r="XBA35" s="39"/>
      <c r="XBB35" s="39"/>
      <c r="XBC35" s="39"/>
      <c r="XBD35" s="39"/>
      <c r="XBE35" s="39"/>
      <c r="XBF35" s="39"/>
      <c r="XBG35" s="39"/>
      <c r="XBH35" s="39"/>
      <c r="XBI35" s="39"/>
      <c r="XBJ35" s="39"/>
      <c r="XBK35" s="39"/>
      <c r="XBL35" s="39"/>
      <c r="XBM35" s="39"/>
      <c r="XBN35" s="39"/>
      <c r="XBO35" s="39"/>
      <c r="XBP35" s="39"/>
      <c r="XBQ35" s="39"/>
      <c r="XBR35" s="39"/>
      <c r="XBS35" s="39"/>
      <c r="XBT35" s="39"/>
      <c r="XBU35" s="39"/>
      <c r="XBV35" s="39"/>
      <c r="XBW35" s="39"/>
      <c r="XBX35" s="39"/>
      <c r="XBY35" s="39"/>
      <c r="XBZ35" s="39"/>
      <c r="XCA35" s="39"/>
      <c r="XCB35" s="39"/>
      <c r="XCC35" s="39"/>
      <c r="XCD35" s="39"/>
      <c r="XCE35" s="39"/>
      <c r="XCF35" s="39"/>
      <c r="XCG35" s="39"/>
      <c r="XCH35" s="39"/>
      <c r="XCI35" s="39"/>
      <c r="XCJ35" s="39"/>
      <c r="XCK35" s="39"/>
      <c r="XCL35" s="39"/>
      <c r="XCM35" s="39"/>
      <c r="XCN35" s="39"/>
      <c r="XCO35" s="39"/>
      <c r="XCP35" s="39"/>
      <c r="XCQ35" s="39"/>
      <c r="XCR35" s="39"/>
      <c r="XCS35" s="39"/>
      <c r="XCT35" s="39"/>
      <c r="XCU35" s="39"/>
      <c r="XCV35" s="39"/>
      <c r="XCW35" s="39"/>
      <c r="XCX35" s="39"/>
      <c r="XCY35" s="39"/>
      <c r="XCZ35" s="39"/>
      <c r="XDA35" s="39"/>
      <c r="XDB35" s="39"/>
      <c r="XDC35" s="39"/>
      <c r="XDD35" s="39"/>
      <c r="XDE35" s="39"/>
      <c r="XDF35" s="39"/>
      <c r="XDG35" s="39"/>
      <c r="XDH35" s="39"/>
      <c r="XDI35" s="39"/>
      <c r="XDJ35" s="39"/>
      <c r="XDK35" s="39"/>
      <c r="XDL35" s="39"/>
      <c r="XDM35" s="39"/>
      <c r="XDN35" s="39"/>
      <c r="XDO35" s="39"/>
      <c r="XDP35" s="39"/>
      <c r="XDQ35" s="39"/>
      <c r="XDR35" s="39"/>
      <c r="XDS35" s="39"/>
      <c r="XDT35" s="39"/>
      <c r="XDU35" s="39"/>
      <c r="XDV35" s="39"/>
      <c r="XDW35" s="39"/>
      <c r="XDX35" s="39"/>
      <c r="XDY35" s="39"/>
      <c r="XDZ35" s="39"/>
      <c r="XEA35" s="39"/>
      <c r="XEB35" s="39"/>
      <c r="XEC35" s="39"/>
      <c r="XED35" s="39"/>
      <c r="XEE35" s="39"/>
      <c r="XEF35" s="39"/>
      <c r="XEG35" s="39"/>
      <c r="XEH35" s="39"/>
      <c r="XEI35" s="39"/>
      <c r="XEJ35" s="39"/>
      <c r="XEK35" s="39"/>
      <c r="XEL35" s="39"/>
      <c r="XEM35" s="39"/>
      <c r="XEN35" s="39"/>
      <c r="XEO35" s="39"/>
      <c r="XEP35" s="39"/>
      <c r="XEQ35" s="39"/>
      <c r="XER35" s="39"/>
      <c r="XES35" s="39"/>
      <c r="XET35" s="39"/>
      <c r="XEU35" s="39"/>
      <c r="XEV35" s="39"/>
      <c r="XEW35" s="39"/>
      <c r="XEX35" s="39"/>
      <c r="XEY35" s="39"/>
      <c r="XEZ35" s="39"/>
      <c r="XFA35" s="39"/>
      <c r="XFB35" s="39"/>
      <c r="XFC35" s="39"/>
      <c r="XFD35" s="39"/>
    </row>
    <row r="36" spans="1:16384" s="39" customFormat="1" ht="37.9" customHeight="1">
      <c r="A36" s="209" t="s">
        <v>544</v>
      </c>
      <c r="B36" s="549" t="e">
        <f>SUM(B52:D53)</f>
        <v>#VALUE!</v>
      </c>
      <c r="C36" s="548"/>
      <c r="D36" s="548"/>
      <c r="E36" s="213" t="s">
        <v>543</v>
      </c>
      <c r="F36" s="206" t="s">
        <v>611</v>
      </c>
      <c r="H36" s="35"/>
      <c r="I36" s="43"/>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c r="XES36"/>
      <c r="XET36"/>
      <c r="XEU36"/>
      <c r="XEV36"/>
      <c r="XEW36"/>
      <c r="XEX36"/>
      <c r="XEY36"/>
      <c r="XEZ36"/>
      <c r="XFA36"/>
      <c r="XFB36"/>
      <c r="XFC36"/>
      <c r="XFD36"/>
    </row>
    <row r="37" spans="1:16384" ht="15">
      <c r="A37" s="207" t="s">
        <v>633</v>
      </c>
      <c r="B37" s="540"/>
      <c r="C37" s="206"/>
      <c r="D37" s="206"/>
      <c r="E37" s="213" t="s">
        <v>543</v>
      </c>
      <c r="F37" s="206" t="s">
        <v>635</v>
      </c>
      <c r="H37" s="223" t="s">
        <v>614</v>
      </c>
      <c r="I37" s="561" t="e">
        <f>B37/B38</f>
        <v>#DIV/0!</v>
      </c>
    </row>
    <row r="38" spans="1:16384" ht="15.75">
      <c r="A38" s="207" t="s">
        <v>634</v>
      </c>
      <c r="B38" s="540"/>
      <c r="C38" s="206"/>
      <c r="D38" s="206"/>
      <c r="E38" s="213" t="s">
        <v>543</v>
      </c>
      <c r="F38" s="206" t="s">
        <v>635</v>
      </c>
      <c r="H38" s="223" t="s">
        <v>615</v>
      </c>
      <c r="I38" s="561" t="e">
        <f>B37+B36</f>
        <v>#VALUE!</v>
      </c>
      <c r="J38" s="224"/>
    </row>
    <row r="39" spans="1:16384" ht="30">
      <c r="A39" s="207" t="s">
        <v>612</v>
      </c>
      <c r="B39" s="563">
        <f>IFERROR(I38/(I39),0)</f>
        <v>0</v>
      </c>
      <c r="C39" s="206"/>
      <c r="D39" s="206"/>
      <c r="E39" s="213" t="s">
        <v>616</v>
      </c>
      <c r="F39" s="206" t="s">
        <v>613</v>
      </c>
      <c r="H39" s="223" t="s">
        <v>636</v>
      </c>
      <c r="I39" s="561" t="e">
        <f>B38+B36</f>
        <v>#VALUE!</v>
      </c>
    </row>
    <row r="40" spans="1:16384" s="39" customFormat="1" ht="15">
      <c r="A40"/>
      <c r="B40"/>
      <c r="C40" s="206"/>
      <c r="D40" s="206"/>
      <c r="E40" s="213"/>
      <c r="F40" s="206"/>
    </row>
    <row r="41" spans="1:16384" s="39" customFormat="1" ht="15">
      <c r="A41"/>
      <c r="B41"/>
      <c r="C41" s="206"/>
      <c r="D41" s="206"/>
      <c r="E41" s="213"/>
      <c r="F41" s="206"/>
    </row>
    <row r="42" spans="1:16384" s="39" customFormat="1" ht="15">
      <c r="A42"/>
      <c r="B42"/>
      <c r="C42" s="206"/>
      <c r="D42" s="206"/>
      <c r="E42" s="213"/>
      <c r="F42" s="206"/>
    </row>
    <row r="43" spans="1:16384" s="39" customFormat="1" ht="15">
      <c r="A43"/>
      <c r="B43"/>
      <c r="C43" s="206"/>
      <c r="D43" s="206"/>
      <c r="E43" s="213"/>
      <c r="F43" s="206"/>
    </row>
    <row r="44" spans="1:16384" s="39" customFormat="1" ht="15">
      <c r="A44"/>
      <c r="B44"/>
      <c r="C44" s="206"/>
      <c r="D44" s="206"/>
      <c r="E44" s="213"/>
      <c r="F44" s="206"/>
    </row>
    <row r="45" spans="1:16384" s="39" customFormat="1" ht="15">
      <c r="A45"/>
      <c r="B45"/>
      <c r="C45" s="206"/>
      <c r="D45" s="206"/>
      <c r="E45" s="213"/>
      <c r="F45" s="206"/>
    </row>
    <row r="46" spans="1:16384" ht="15">
      <c r="A46" s="303" t="s">
        <v>541</v>
      </c>
      <c r="B46" s="303" t="s">
        <v>503</v>
      </c>
      <c r="C46" s="303" t="s">
        <v>504</v>
      </c>
      <c r="D46" s="303" t="s">
        <v>505</v>
      </c>
      <c r="E46" s="303" t="s">
        <v>534</v>
      </c>
      <c r="F46" s="397" t="s">
        <v>547</v>
      </c>
      <c r="G46" s="397" t="s">
        <v>550</v>
      </c>
      <c r="H46" s="397" t="s">
        <v>548</v>
      </c>
      <c r="I46" s="397" t="s">
        <v>630</v>
      </c>
    </row>
    <row r="47" spans="1:16384" s="39" customFormat="1" ht="15.75">
      <c r="A47" s="227" t="s">
        <v>546</v>
      </c>
      <c r="B47" s="399" t="str">
        <f>RIGHT(B46)</f>
        <v>1</v>
      </c>
      <c r="C47" s="399" t="str">
        <f>RIGHT(C46)</f>
        <v>2</v>
      </c>
      <c r="D47" s="399" t="str">
        <f>RIGHT(D46)</f>
        <v>3</v>
      </c>
      <c r="E47" s="60"/>
      <c r="F47" s="397"/>
      <c r="G47" s="398"/>
      <c r="H47" s="398"/>
    </row>
    <row r="48" spans="1:16384" ht="15.75">
      <c r="A48" s="227" t="s">
        <v>369</v>
      </c>
      <c r="B48" s="399" t="e">
        <f>IF(B14="none",0,HP_1!$B106)</f>
        <v>#VALUE!</v>
      </c>
      <c r="C48" s="399" cm="1">
        <f t="array" aca="1" ref="C48" ca="1">IF(C$14="none",0,INDIRECT($F48&amp;C$47&amp;"!"&amp;$G48))</f>
        <v>0</v>
      </c>
      <c r="D48" s="399" cm="1">
        <f t="array" aca="1" ref="D48" ca="1">IF(D$14="none",0,INDIRECT($F48&amp;D$47&amp;"!"&amp;$G48))</f>
        <v>0</v>
      </c>
      <c r="E48" s="60" t="s">
        <v>92</v>
      </c>
      <c r="F48" s="397" t="str">
        <f ca="1">MID(H48,FIND("HP",H48),3)</f>
        <v>HP_</v>
      </c>
      <c r="G48" s="397" t="str">
        <f ca="1">RIGHT(I48,LEN(I48)-FIND("!",I48))</f>
        <v>$B106</v>
      </c>
      <c r="H48" s="398" t="str">
        <f ca="1">SUBSTITUTE( _xlfn.FORMULATEXT(B48),"=","")</f>
        <v>IF(B14"none",0,HP_1!$B106)</v>
      </c>
      <c r="I48" s="398" t="str">
        <f ca="1">SUBSTITUTE( H48,")","")</f>
        <v>IF(B14"none",0,HP_1!$B106</v>
      </c>
    </row>
    <row r="49" spans="1:9" s="39" customFormat="1" ht="15.75">
      <c r="A49" s="227" t="s">
        <v>532</v>
      </c>
      <c r="B49" s="400">
        <f>IF(B14="none",0,HP_1!$B107)</f>
        <v>1</v>
      </c>
      <c r="C49" s="559" cm="1">
        <f t="array" aca="1" ref="C49" ca="1">IF(C$14="none",0,INDIRECT($F49&amp;C$47&amp;"!"&amp;$G49))</f>
        <v>0</v>
      </c>
      <c r="D49" s="559" cm="1">
        <f t="array" aca="1" ref="D49" ca="1">IF(D$14="none",0,INDIRECT($F49&amp;D$47&amp;"!"&amp;$G49))</f>
        <v>0</v>
      </c>
      <c r="E49" s="60"/>
      <c r="F49" s="397" t="str">
        <f t="shared" ref="F49:F58" ca="1" si="1">MID(H49,FIND("HP",H49),3)</f>
        <v>HP_</v>
      </c>
      <c r="G49" s="397" t="str">
        <f t="shared" ref="G49:G58" ca="1" si="2">RIGHT(I49,LEN(I49)-FIND("!",I49))</f>
        <v>$B107</v>
      </c>
      <c r="H49" s="398" t="str">
        <f t="shared" ref="H49:H58" ca="1" si="3">SUBSTITUTE( _xlfn.FORMULATEXT(B49),"=","")</f>
        <v>IF(B14"none",0,HP_1!$B107)</v>
      </c>
      <c r="I49" s="398" t="str">
        <f t="shared" ref="I49:I58" ca="1" si="4">SUBSTITUTE( H49,")","")</f>
        <v>IF(B14"none",0,HP_1!$B107</v>
      </c>
    </row>
    <row r="50" spans="1:9" ht="15.75">
      <c r="A50" s="227" t="s">
        <v>370</v>
      </c>
      <c r="B50" s="399" t="e">
        <f>IF(B15="none",0,HP_1!$B108)</f>
        <v>#VALUE!</v>
      </c>
      <c r="C50" s="399" cm="1">
        <f t="array" aca="1" ref="C50" ca="1">IF(C$15="none",0,INDIRECT($F50&amp;C$47&amp;"!"&amp;$G50))</f>
        <v>0</v>
      </c>
      <c r="D50" s="399" cm="1">
        <f t="array" aca="1" ref="D50" ca="1">IF(D$15="none",0,INDIRECT($F50&amp;D$47&amp;"!"&amp;$G50))</f>
        <v>0</v>
      </c>
      <c r="E50" s="60" t="s">
        <v>92</v>
      </c>
      <c r="F50" s="397" t="str">
        <f t="shared" ca="1" si="1"/>
        <v>HP_</v>
      </c>
      <c r="G50" s="397" t="str">
        <f t="shared" ca="1" si="2"/>
        <v>$B108</v>
      </c>
      <c r="H50" s="398" t="str">
        <f t="shared" ca="1" si="3"/>
        <v>IF(B15"none",0,HP_1!$B108)</v>
      </c>
      <c r="I50" s="398" t="str">
        <f t="shared" ca="1" si="4"/>
        <v>IF(B15"none",0,HP_1!$B108</v>
      </c>
    </row>
    <row r="51" spans="1:9" s="39" customFormat="1" ht="15.75">
      <c r="A51" s="227" t="s">
        <v>533</v>
      </c>
      <c r="B51" s="400">
        <f>IF(B15="none",0,HP_1!$B109)</f>
        <v>1</v>
      </c>
      <c r="C51" s="559" cm="1">
        <f t="array" aca="1" ref="C51" ca="1">IF(C$15="none",0,INDIRECT($F51&amp;C$47&amp;"!"&amp;$G51))</f>
        <v>0</v>
      </c>
      <c r="D51" s="559" cm="1">
        <f t="array" aca="1" ref="D51" ca="1">IF(D$15="none",0,INDIRECT($F51&amp;D$47&amp;"!"&amp;$G51))</f>
        <v>0</v>
      </c>
      <c r="E51" s="60"/>
      <c r="F51" s="397" t="str">
        <f t="shared" ca="1" si="1"/>
        <v>HP_</v>
      </c>
      <c r="G51" s="397" t="str">
        <f t="shared" ca="1" si="2"/>
        <v>$B109</v>
      </c>
      <c r="H51" s="398" t="str">
        <f t="shared" ca="1" si="3"/>
        <v>IF(B15"none",0,HP_1!$B109)</v>
      </c>
      <c r="I51" s="398" t="str">
        <f t="shared" ca="1" si="4"/>
        <v>IF(B15"none",0,HP_1!$B109</v>
      </c>
    </row>
    <row r="52" spans="1:9" ht="15.75">
      <c r="A52" s="227" t="s">
        <v>528</v>
      </c>
      <c r="B52" s="401" t="e">
        <f>IF(B14="none",0,HP_1!$F127)</f>
        <v>#VALUE!</v>
      </c>
      <c r="C52" s="401" cm="1">
        <f t="array" aca="1" ref="C52" ca="1">IF(C$14="none",0,INDIRECT($F52&amp;C$47&amp;"!"&amp;$G52))</f>
        <v>0</v>
      </c>
      <c r="D52" s="401" cm="1">
        <f t="array" aca="1" ref="D52" ca="1">IF(D$14="none",0,INDIRECT($F52&amp;D$47&amp;"!"&amp;$G52))</f>
        <v>0</v>
      </c>
      <c r="E52" s="60" t="s">
        <v>43</v>
      </c>
      <c r="F52" s="397" t="str">
        <f t="shared" ca="1" si="1"/>
        <v>HP_</v>
      </c>
      <c r="G52" s="397" t="str">
        <f t="shared" ca="1" si="2"/>
        <v>$F127</v>
      </c>
      <c r="H52" s="398" t="str">
        <f t="shared" ca="1" si="3"/>
        <v>IF(B14"none",0,HP_1!$F127)</v>
      </c>
      <c r="I52" s="398" t="str">
        <f t="shared" ca="1" si="4"/>
        <v>IF(B14"none",0,HP_1!$F127</v>
      </c>
    </row>
    <row r="53" spans="1:9" s="39" customFormat="1" ht="15.75">
      <c r="A53" s="227" t="s">
        <v>529</v>
      </c>
      <c r="B53" s="401" t="e">
        <f>IF(B15="none",0,HP_1!$F128)</f>
        <v>#VALUE!</v>
      </c>
      <c r="C53" s="559" cm="1">
        <f t="array" aca="1" ref="C53" ca="1">IF(C$15="none",0,INDIRECT($F53&amp;C$47&amp;"!"&amp;$G53))</f>
        <v>0</v>
      </c>
      <c r="D53" s="559" cm="1">
        <f t="array" aca="1" ref="D53" ca="1">IF(D$15="none",0,INDIRECT($F53&amp;D$47&amp;"!"&amp;$G53))</f>
        <v>0</v>
      </c>
      <c r="E53" s="60" t="s">
        <v>43</v>
      </c>
      <c r="F53" s="397" t="str">
        <f t="shared" ca="1" si="1"/>
        <v>HP_</v>
      </c>
      <c r="G53" s="397" t="str">
        <f t="shared" ca="1" si="2"/>
        <v>$F128</v>
      </c>
      <c r="H53" s="398" t="str">
        <f t="shared" ca="1" si="3"/>
        <v>IF(B15"none",0,HP_1!$F128)</v>
      </c>
      <c r="I53" s="398" t="str">
        <f t="shared" ca="1" si="4"/>
        <v>IF(B15"none",0,HP_1!$F128</v>
      </c>
    </row>
    <row r="54" spans="1:9" ht="27.6" customHeight="1">
      <c r="A54" s="304" t="s">
        <v>531</v>
      </c>
      <c r="B54" s="402" t="e">
        <f>IF(B14="none",0,HP_1!$B115)</f>
        <v>#VALUE!</v>
      </c>
      <c r="C54" s="399" cm="1">
        <f t="array" aca="1" ref="C54" ca="1">IF(C$14="none",0,INDIRECT($F54&amp;C$47&amp;"!"&amp;$G54))</f>
        <v>0</v>
      </c>
      <c r="D54" s="399" cm="1">
        <f t="array" aca="1" ref="D54" ca="1">IF(D$14="none",0,INDIRECT($F54&amp;D$47&amp;"!"&amp;$G54))</f>
        <v>0</v>
      </c>
      <c r="E54" s="60" t="s">
        <v>92</v>
      </c>
      <c r="F54" s="397" t="str">
        <f t="shared" ca="1" si="1"/>
        <v>HP_</v>
      </c>
      <c r="G54" s="397" t="str">
        <f t="shared" ca="1" si="2"/>
        <v>$B115</v>
      </c>
      <c r="H54" s="398" t="str">
        <f t="shared" ca="1" si="3"/>
        <v>IF(B14"none",0,HP_1!$B115)</v>
      </c>
      <c r="I54" s="398" t="str">
        <f t="shared" ca="1" si="4"/>
        <v>IF(B14"none",0,HP_1!$B115</v>
      </c>
    </row>
    <row r="55" spans="1:9" ht="31.9" customHeight="1">
      <c r="A55" s="304" t="s">
        <v>593</v>
      </c>
      <c r="B55" s="402" t="e">
        <f>IF(B15="none",0,HP_1!$B116)</f>
        <v>#VALUE!</v>
      </c>
      <c r="C55" s="399" cm="1">
        <f t="array" aca="1" ref="C55" ca="1">IF(C$15="none",0,INDIRECT($F55&amp;C$47&amp;"!"&amp;$G55))</f>
        <v>0</v>
      </c>
      <c r="D55" s="399" cm="1">
        <f t="array" aca="1" ref="D55" ca="1">IF(D$15="none",0,INDIRECT($F55&amp;D$47&amp;"!"&amp;$G55))</f>
        <v>0</v>
      </c>
      <c r="E55" s="60" t="s">
        <v>92</v>
      </c>
      <c r="F55" s="397" t="str">
        <f t="shared" ca="1" si="1"/>
        <v>HP_</v>
      </c>
      <c r="G55" s="397" t="str">
        <f t="shared" ca="1" si="2"/>
        <v>$B116</v>
      </c>
      <c r="H55" s="398" t="str">
        <f t="shared" ca="1" si="3"/>
        <v>IF(B15"none",0,HP_1!$B116)</v>
      </c>
      <c r="I55" s="398" t="str">
        <f t="shared" ca="1" si="4"/>
        <v>IF(B15"none",0,HP_1!$B116</v>
      </c>
    </row>
    <row r="56" spans="1:9" ht="15.75">
      <c r="A56" s="304" t="s">
        <v>535</v>
      </c>
      <c r="B56" s="402" t="str">
        <f>IF(B15="none","",HP_1!$B$68)</f>
        <v>I.S. EN 16147</v>
      </c>
      <c r="C56" s="400" t="str" cm="1">
        <f t="array" aca="1" ref="C56" ca="1">IF(C$15="none","",INDIRECT($F56&amp;C$47&amp;"!"&amp;$G56))</f>
        <v/>
      </c>
      <c r="D56" s="400" t="str" cm="1">
        <f t="array" aca="1" ref="D56" ca="1">IF(D$15="none","",INDIRECT($F56&amp;D$47&amp;"!"&amp;$G56))</f>
        <v/>
      </c>
      <c r="E56" s="305">
        <f ca="1">COUNTIF(B56:D56,"="&amp;"I.S. EN 14825/14511")</f>
        <v>0</v>
      </c>
      <c r="F56" s="397" t="str">
        <f t="shared" ca="1" si="1"/>
        <v>HP_</v>
      </c>
      <c r="G56" s="397" t="str">
        <f t="shared" ca="1" si="2"/>
        <v>$B$68</v>
      </c>
      <c r="H56" s="398" t="str">
        <f t="shared" ca="1" si="3"/>
        <v>IF(B15"none","",HP_1!$B$68)</v>
      </c>
      <c r="I56" s="398" t="str">
        <f t="shared" ca="1" si="4"/>
        <v>IF(B15"none","",HP_1!$B$68</v>
      </c>
    </row>
    <row r="57" spans="1:9" ht="15.75">
      <c r="A57" s="304" t="s">
        <v>536</v>
      </c>
      <c r="B57" s="402">
        <f>IF(B15="none",0,HP_1!$I$68)</f>
        <v>1</v>
      </c>
      <c r="C57" s="402" cm="1">
        <f t="array" aca="1" ref="C57" ca="1">IF(C$15="none",0,INDIRECT($F57&amp;C$47&amp;"!"&amp;$G57))</f>
        <v>0</v>
      </c>
      <c r="D57" s="402" cm="1">
        <f t="array" aca="1" ref="D57" ca="1">IF(D$15="none",0,INDIRECT($F57&amp;D$47&amp;"!"&amp;$G57))</f>
        <v>0</v>
      </c>
      <c r="E57" s="60"/>
      <c r="F57" s="397" t="str">
        <f t="shared" ca="1" si="1"/>
        <v>HP_</v>
      </c>
      <c r="G57" s="397" t="str">
        <f t="shared" ca="1" si="2"/>
        <v>$I$68</v>
      </c>
      <c r="H57" s="398" t="str">
        <f t="shared" ca="1" si="3"/>
        <v>IF(B15"none",0,HP_1!$I$68)</v>
      </c>
      <c r="I57" s="398" t="str">
        <f t="shared" ca="1" si="4"/>
        <v>IF(B15"none",0,HP_1!$I$68</v>
      </c>
    </row>
    <row r="58" spans="1:9" s="39" customFormat="1" ht="15.75">
      <c r="A58" s="304" t="s">
        <v>549</v>
      </c>
      <c r="B58" s="403">
        <f>IF(AND(B14="none",B15="none"),0,HP_1!$AN$4)</f>
        <v>0</v>
      </c>
      <c r="C58" s="403" cm="1">
        <f t="array" aca="1" ref="C58" ca="1">IF(AND(C$14="none",C$15="none"),0,INDIRECT($F58&amp;C$47&amp;"!"&amp;$G58))</f>
        <v>0</v>
      </c>
      <c r="D58" s="403" cm="1">
        <f t="array" aca="1" ref="D58" ca="1">IF(AND(D$14="none",D$15="none"),0,INDIRECT($F58&amp;D$47&amp;"!"&amp;$G58))</f>
        <v>0</v>
      </c>
      <c r="E58" s="60"/>
      <c r="F58" s="397" t="str">
        <f t="shared" ca="1" si="1"/>
        <v>HP_</v>
      </c>
      <c r="G58" s="397" t="str">
        <f t="shared" ca="1" si="2"/>
        <v>$AN$4</v>
      </c>
      <c r="H58" s="398" t="str">
        <f t="shared" ca="1" si="3"/>
        <v>IF(AND(B14"none",B15"none"),0,HP_1!$AN$4)</v>
      </c>
      <c r="I58" s="398" t="str">
        <f t="shared" ca="1" si="4"/>
        <v>IF(AND(B14"none",B15"none",0,HP_1!$AN$4</v>
      </c>
    </row>
    <row r="59" spans="1:9" ht="15.75">
      <c r="A59" s="304" t="s">
        <v>537</v>
      </c>
      <c r="B59" s="404" t="str">
        <f>IF(B$15="none","",IF(B17&gt;B57,B46&amp;"
Error: %  water heating from this pump exceeds maximum based on test temperatures. Pls check data entries.  ",""))</f>
        <v/>
      </c>
      <c r="C59" s="404" t="str">
        <f>IF(C$15="none","",IF(C17&gt;C57,C46&amp;"
Error: %  water heating from this pump exceeds maximum based on test temperatures. Pls check data entries.  ",""))</f>
        <v/>
      </c>
      <c r="D59" s="404" t="str">
        <f>IF(D$15="none","",IF(D17&gt;D57,D46&amp;"
Error: %  water heating from this pump exceeds maximum based on test temperatures. Pls check data entries.  ",""))</f>
        <v/>
      </c>
      <c r="E59" s="60"/>
      <c r="F59" s="306"/>
      <c r="G59" s="307"/>
      <c r="H59" s="307"/>
    </row>
    <row r="60" spans="1:9" ht="15">
      <c r="A60" s="304" t="s">
        <v>538</v>
      </c>
      <c r="B60" s="404" t="e">
        <f>IF(B$14="none","",IF(B54&lt;100%,B$46&amp;"
Warning: this heat pump requires backup to meet space heating load assigned to it.  ",""))</f>
        <v>#VALUE!</v>
      </c>
      <c r="C60" s="404" t="str">
        <f>IF(C14="none","",IF(C54&lt;100%,C$46&amp;"
Warning: this heat pump requires backup to meet space heating load assigned to it.  ",""))</f>
        <v/>
      </c>
      <c r="D60" s="404" t="str">
        <f>IF(D14="none","",IF(D54&lt;100%,D$46&amp;"
Warning: this heat pump requires backup to meet space heating load assigned to it.  ",""))</f>
        <v/>
      </c>
      <c r="F60" s="306"/>
      <c r="G60" s="307"/>
      <c r="H60" s="307"/>
    </row>
    <row r="61" spans="1:9" ht="15">
      <c r="A61" s="304" t="s">
        <v>539</v>
      </c>
      <c r="B61" s="404" t="e">
        <f>IF(B$15="none","",IF(B55&lt;100%,"
Warning: this heat pump requires backup to meet water heating load assigned to it.  ",""))</f>
        <v>#VALUE!</v>
      </c>
      <c r="C61" s="404" t="str">
        <f>IF(C15="none","",IF(C55&lt;100%,C$46&amp;"
Warning: this heat pump requires backup to meet water heating load assigned to it.  ",""))</f>
        <v/>
      </c>
      <c r="D61" s="404" t="str">
        <f>IF(D15="none","",IF(D55&lt;100%,D$46&amp;"
Warning: this heat pump requires backup to meet water heating load assigned to it.  ",""))</f>
        <v/>
      </c>
      <c r="F61" s="306"/>
      <c r="G61" s="307"/>
      <c r="H61" s="307"/>
    </row>
    <row r="62" spans="1:9" ht="15.75">
      <c r="A62" s="304" t="s">
        <v>594</v>
      </c>
      <c r="B62" s="402" t="str">
        <f>IF(B14="none","",HP_1!G11)</f>
        <v>Electricity</v>
      </c>
      <c r="C62" s="400" t="str" cm="1">
        <f t="array" aca="1" ref="C62" ca="1">IF(C$14="none","",INDIRECT($F62&amp;C$47&amp;"!"&amp;$G62))</f>
        <v/>
      </c>
      <c r="D62" s="400" t="str" cm="1">
        <f t="array" aca="1" ref="D62" ca="1">IF(D$14="none","",INDIRECT($F62&amp;D$47&amp;"!"&amp;$G62))</f>
        <v/>
      </c>
      <c r="E62" s="305"/>
      <c r="F62" s="397" t="str">
        <f t="shared" ref="F62:F63" ca="1" si="5">MID(H62,FIND("HP",H62),3)</f>
        <v>HP_</v>
      </c>
      <c r="G62" s="397" t="str">
        <f t="shared" ref="G62:G63" ca="1" si="6">RIGHT(I62,LEN(I62)-FIND("!",I62))</f>
        <v>G11</v>
      </c>
      <c r="H62" s="398" t="str">
        <f t="shared" ref="H62:H63" ca="1" si="7">SUBSTITUTE( _xlfn.FORMULATEXT(B62),"=","")</f>
        <v>IF(B14"none","",HP_1!G11)</v>
      </c>
      <c r="I62" s="398" t="str">
        <f t="shared" ref="I62:I63" ca="1" si="8">SUBSTITUTE( H62,")","")</f>
        <v>IF(B14"none","",HP_1!G11</v>
      </c>
    </row>
    <row r="63" spans="1:9" ht="15.75">
      <c r="A63" s="304" t="s">
        <v>595</v>
      </c>
      <c r="B63" s="402" t="str">
        <f>IF(B15="none","",HP_1!G63)</f>
        <v>Electricity</v>
      </c>
      <c r="C63" s="400" t="str" cm="1">
        <f t="array" aca="1" ref="C63" ca="1">IF(C$15="none","",INDIRECT($F63&amp;C$47&amp;"!"&amp;$G63))</f>
        <v/>
      </c>
      <c r="D63" s="400" t="str" cm="1">
        <f t="array" aca="1" ref="D63" ca="1">IF(D$15="none","",INDIRECT($F63&amp;D$47&amp;"!"&amp;$G63))</f>
        <v/>
      </c>
      <c r="E63" s="305"/>
      <c r="F63" s="397" t="str">
        <f t="shared" ca="1" si="5"/>
        <v>HP_</v>
      </c>
      <c r="G63" s="397" t="str">
        <f t="shared" ca="1" si="6"/>
        <v>G63</v>
      </c>
      <c r="H63" s="398" t="str">
        <f t="shared" ca="1" si="7"/>
        <v>IF(B15"none","",HP_1!G63)</v>
      </c>
      <c r="I63" s="398" t="str">
        <f t="shared" ca="1" si="8"/>
        <v>IF(B15"none","",HP_1!G63</v>
      </c>
    </row>
    <row r="64" spans="1:9" ht="15">
      <c r="A64" s="304" t="s">
        <v>596</v>
      </c>
      <c r="B64" s="556" t="str">
        <f ca="1">_xlfn.CONCAT(B62:D63)</f>
        <v>ElectricityElectricity</v>
      </c>
      <c r="C64" s="556">
        <f ca="1">IFERROR(SEARCH("Elec",B64),0)</f>
        <v>1</v>
      </c>
      <c r="D64" s="556">
        <f ca="1">IFERROR(SEARCH("GAHP",B64),0)</f>
        <v>0</v>
      </c>
      <c r="E64" s="556">
        <f ca="1">IF(AND(C64&gt;0,D64&gt;0),1,0)</f>
        <v>0</v>
      </c>
    </row>
    <row r="65" spans="1:2" ht="15">
      <c r="A65" s="304" t="s">
        <v>608</v>
      </c>
      <c r="B65" s="560" t="b">
        <f ca="1">IF(E56=COUNTIF(I15:K15,"="&amp;TRUE),TRUE,FALSE)</f>
        <v>0</v>
      </c>
    </row>
    <row r="66" spans="1:2" ht="15">
      <c r="A66" s="304" t="s">
        <v>609</v>
      </c>
      <c r="B66" s="560" t="b">
        <f>IF(SUM(B17:D17)&gt;=1,TRUE,FALSE)</f>
        <v>0</v>
      </c>
    </row>
  </sheetData>
  <sheetProtection algorithmName="SHA-512" hashValue="PJ/Zvfq36xzY4xAD3fuxYbwwVM2QX06Ngg0rYgIIeKnBKruCLFEFT6cI0obkJdEa2AVzxeWjilUJygkSZE+NvA==" saltValue="QB/dzcB3ShcTNyMSk2P6Nw==" spinCount="100000" sheet="1" objects="1" scenarios="1"/>
  <mergeCells count="6">
    <mergeCell ref="A35:F35"/>
    <mergeCell ref="A1:F1"/>
    <mergeCell ref="A21:F21"/>
    <mergeCell ref="B32:D32"/>
    <mergeCell ref="B33:D33"/>
    <mergeCell ref="B34:D34"/>
  </mergeCells>
  <conditionalFormatting sqref="C20">
    <cfRule type="expression" dxfId="192" priority="272">
      <formula>AND(LEFT(C14,7)&lt;&gt;"Exhaust",LEFT(C15,7)&lt;&gt;"Exhaust")</formula>
    </cfRule>
  </conditionalFormatting>
  <conditionalFormatting sqref="A10:B10 E10:F10 H10:I10">
    <cfRule type="expression" dxfId="191" priority="273">
      <formula>$I$19&lt;&gt;TRUE</formula>
    </cfRule>
  </conditionalFormatting>
  <conditionalFormatting sqref="F16">
    <cfRule type="containsText" dxfId="190" priority="13" operator="containsText" text="Error">
      <formula>NOT(ISERROR(SEARCH("Error",F16)))</formula>
    </cfRule>
  </conditionalFormatting>
  <conditionalFormatting sqref="F17">
    <cfRule type="containsText" dxfId="189" priority="11" operator="containsText" text="Error">
      <formula>NOT(ISERROR(SEARCH("Error",F17)))</formula>
    </cfRule>
  </conditionalFormatting>
  <conditionalFormatting sqref="B20">
    <cfRule type="expression" dxfId="188" priority="5">
      <formula>AND(LEFT(B14,7)&lt;&gt;"Exhaust",LEFT(B15,7)&lt;&gt;"Exhaust")</formula>
    </cfRule>
  </conditionalFormatting>
  <conditionalFormatting sqref="D20">
    <cfRule type="expression" dxfId="187" priority="4">
      <formula>AND(LEFT(D14,7)&lt;&gt;"Exhaust",LEFT(D15,7)&lt;&gt;"Exhaust")</formula>
    </cfRule>
  </conditionalFormatting>
  <conditionalFormatting sqref="C22">
    <cfRule type="containsText" dxfId="186" priority="2" operator="containsText" text="Error">
      <formula>NOT(ISERROR(SEARCH("Error",C22)))</formula>
    </cfRule>
  </conditionalFormatting>
  <dataValidations count="1">
    <dataValidation type="list" allowBlank="1" showInputMessage="1" showErrorMessage="1" sqref="B14:D15" xr:uid="{EF842449-B348-42F8-980B-7686BF788D72}">
      <formula1>"None, Heat Pump, Exhaust Air Heat Pump"</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EE6DA9-B9FF-44E7-B565-682F6A679595}">
          <x14:formula1>
            <xm:f>HP_1!$AB$1:$AB$2</xm:f>
          </x14:formula1>
          <xm:sqref>B10 B18:D19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dimension ref="A1:FA235"/>
  <sheetViews>
    <sheetView topLeftCell="A118" zoomScale="70" zoomScaleNormal="70" workbookViewId="0">
      <selection activeCell="A132" sqref="A132"/>
    </sheetView>
  </sheetViews>
  <sheetFormatPr defaultColWidth="9.140625" defaultRowHeight="15.75"/>
  <cols>
    <col min="1" max="1" width="68.28515625" style="34" customWidth="1"/>
    <col min="2" max="2" width="46" style="34" customWidth="1"/>
    <col min="3" max="3" width="23.28515625" style="34" customWidth="1"/>
    <col min="4" max="4" width="18.7109375" style="37" customWidth="1"/>
    <col min="5" max="5" width="20.85546875" style="37" customWidth="1"/>
    <col min="6" max="6" width="15.7109375" style="37" customWidth="1"/>
    <col min="7" max="7" width="51.5703125" style="34" customWidth="1"/>
    <col min="8" max="8" width="27.28515625" style="35" customWidth="1"/>
    <col min="9" max="9" width="25.7109375" style="40" customWidth="1"/>
    <col min="10" max="10" width="27.85546875" style="38" customWidth="1"/>
    <col min="11" max="13" width="25.7109375" style="40" customWidth="1"/>
    <col min="14" max="14" width="29.140625" style="34" bestFit="1" customWidth="1"/>
    <col min="15" max="15" width="9.140625" style="34"/>
    <col min="16" max="16" width="42.28515625" style="34" bestFit="1" customWidth="1"/>
    <col min="17" max="17" width="20.28515625" style="34" bestFit="1" customWidth="1"/>
    <col min="18" max="18" width="38.28515625" style="34" customWidth="1"/>
    <col min="19" max="19" width="24.28515625" style="34" bestFit="1" customWidth="1"/>
    <col min="20" max="20" width="33" style="34" bestFit="1" customWidth="1"/>
    <col min="21" max="21" width="40.5703125" style="34" bestFit="1" customWidth="1"/>
    <col min="22" max="22" width="9.140625" style="34"/>
    <col min="23" max="23" width="35.5703125" style="34" customWidth="1"/>
    <col min="24" max="25" width="9.140625" style="34"/>
    <col min="26" max="26" width="17.140625" style="34" bestFit="1" customWidth="1"/>
    <col min="27" max="29" width="9.140625" style="34"/>
    <col min="30" max="30" width="26.7109375" style="34" bestFit="1" customWidth="1"/>
    <col min="31" max="31" width="16.85546875" style="34" customWidth="1"/>
    <col min="32" max="32" width="9.140625" style="34"/>
    <col min="33" max="33" width="44.5703125" style="34" bestFit="1" customWidth="1"/>
    <col min="34" max="38" width="9.140625" style="34"/>
    <col min="39" max="39" width="9.5703125" style="34" bestFit="1" customWidth="1"/>
    <col min="40" max="40" width="9.85546875" style="34" customWidth="1"/>
    <col min="41" max="41" width="9.140625" style="34"/>
    <col min="42" max="42" width="3.7109375" style="34" bestFit="1" customWidth="1"/>
    <col min="43" max="43" width="9.140625" style="34"/>
    <col min="44" max="44" width="41.28515625" style="34" bestFit="1" customWidth="1"/>
    <col min="45" max="16384" width="9.140625" style="34"/>
  </cols>
  <sheetData>
    <row r="1" spans="1:157" ht="24.75" customHeight="1" thickBot="1">
      <c r="A1" s="8" t="s">
        <v>53</v>
      </c>
      <c r="B1" s="8"/>
      <c r="C1" s="8"/>
      <c r="D1" s="125"/>
      <c r="E1" s="125"/>
      <c r="F1" s="292" t="s">
        <v>509</v>
      </c>
      <c r="G1" s="293">
        <v>1</v>
      </c>
      <c r="H1" s="125"/>
      <c r="I1" s="125"/>
      <c r="J1" s="48"/>
      <c r="K1" s="47"/>
      <c r="L1" s="48"/>
      <c r="M1" s="47"/>
      <c r="N1" s="152" t="s">
        <v>54</v>
      </c>
      <c r="O1" s="158" t="s">
        <v>37</v>
      </c>
      <c r="P1" s="160" t="s">
        <v>48</v>
      </c>
      <c r="Q1" s="180" t="s">
        <v>386</v>
      </c>
      <c r="R1" s="159" t="s">
        <v>387</v>
      </c>
      <c r="S1" s="158" t="s">
        <v>55</v>
      </c>
      <c r="T1" s="163" t="s">
        <v>389</v>
      </c>
      <c r="U1" s="166" t="s">
        <v>56</v>
      </c>
      <c r="V1" s="43"/>
      <c r="W1" s="169" t="s">
        <v>47</v>
      </c>
      <c r="X1" s="170"/>
      <c r="Y1" s="43"/>
      <c r="Z1" s="158" t="s">
        <v>57</v>
      </c>
      <c r="AA1" s="43"/>
      <c r="AB1" s="158" t="s">
        <v>37</v>
      </c>
      <c r="AC1" s="43"/>
      <c r="AD1" s="151" t="s">
        <v>418</v>
      </c>
      <c r="AE1" s="151" t="s">
        <v>438</v>
      </c>
      <c r="AF1" s="43"/>
      <c r="AG1" s="158" t="s">
        <v>58</v>
      </c>
      <c r="AH1" s="43"/>
      <c r="AI1" s="43"/>
      <c r="AJ1" s="43"/>
      <c r="AK1" s="43"/>
      <c r="AL1" s="176" t="s">
        <v>59</v>
      </c>
      <c r="AM1" s="179" t="s">
        <v>60</v>
      </c>
      <c r="AN1" s="170">
        <f>IF(OR(B14=N1,B14=N2),IF(D24="",0,1),0)</f>
        <v>0</v>
      </c>
      <c r="AO1" s="43"/>
      <c r="AP1" s="158">
        <v>8</v>
      </c>
      <c r="AQ1" s="43"/>
      <c r="AR1" s="158" t="s">
        <v>61</v>
      </c>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row>
    <row r="2" spans="1:157" ht="36.6" customHeight="1" thickBot="1">
      <c r="A2" s="131" t="s">
        <v>340</v>
      </c>
      <c r="B2" s="131" t="s">
        <v>341</v>
      </c>
      <c r="C2" s="131" t="s">
        <v>342</v>
      </c>
      <c r="D2" s="745" t="s">
        <v>343</v>
      </c>
      <c r="E2" s="745"/>
      <c r="F2" s="745"/>
      <c r="G2" s="745"/>
      <c r="H2" s="45"/>
      <c r="I2" s="132"/>
      <c r="J2" s="44"/>
      <c r="K2" s="41"/>
      <c r="L2" s="41"/>
      <c r="M2" s="41"/>
      <c r="N2" s="153" t="s">
        <v>393</v>
      </c>
      <c r="O2" s="157" t="s">
        <v>38</v>
      </c>
      <c r="P2" s="161" t="s">
        <v>348</v>
      </c>
      <c r="Q2" s="182" t="s">
        <v>44</v>
      </c>
      <c r="R2" s="193" t="s">
        <v>383</v>
      </c>
      <c r="S2" s="156" t="s">
        <v>63</v>
      </c>
      <c r="T2" s="164" t="s">
        <v>385</v>
      </c>
      <c r="U2" s="167" t="s">
        <v>64</v>
      </c>
      <c r="V2" s="43"/>
      <c r="W2" s="171" t="s">
        <v>44</v>
      </c>
      <c r="X2" s="302">
        <f>DEAPEntries!B11</f>
        <v>2.08</v>
      </c>
      <c r="Y2" s="43"/>
      <c r="Z2" s="157" t="s">
        <v>65</v>
      </c>
      <c r="AA2" s="43"/>
      <c r="AB2" s="157" t="s">
        <v>38</v>
      </c>
      <c r="AC2" s="43"/>
      <c r="AD2" s="156" t="s">
        <v>66</v>
      </c>
      <c r="AE2" s="195" t="str">
        <f>SUBSTITUTE(AD2," Temperature","")</f>
        <v>Low</v>
      </c>
      <c r="AF2" s="43"/>
      <c r="AG2" s="156" t="s">
        <v>67</v>
      </c>
      <c r="AH2" s="43"/>
      <c r="AI2" s="43"/>
      <c r="AJ2" s="43"/>
      <c r="AK2" s="43"/>
      <c r="AL2" s="177" t="s">
        <v>68</v>
      </c>
      <c r="AM2" s="173"/>
      <c r="AN2" s="172">
        <f>IF(OR(B14=N1,B14=N2),IF(D42="",0,1),0)</f>
        <v>0</v>
      </c>
      <c r="AO2" s="43"/>
      <c r="AP2" s="156">
        <v>16</v>
      </c>
      <c r="AQ2" s="43"/>
      <c r="AR2" s="157" t="s">
        <v>69</v>
      </c>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row>
    <row r="3" spans="1:157" ht="35.25" customHeight="1" thickBot="1">
      <c r="A3" s="406" t="s">
        <v>70</v>
      </c>
      <c r="B3" s="407">
        <f>DEAPEntries!B3</f>
        <v>0</v>
      </c>
      <c r="C3" s="458" t="s">
        <v>71</v>
      </c>
      <c r="D3" s="739" t="str">
        <f>DEAPEntries!F3</f>
        <v>Sourced from DEAP  "results" tab (or DEAP workbook Fab tab). This is the sum of heat losses from fabric + ventilation + windows</v>
      </c>
      <c r="E3" s="739"/>
      <c r="F3" s="739"/>
      <c r="G3" s="739"/>
      <c r="H3" s="45"/>
      <c r="I3" s="41"/>
      <c r="J3" s="44"/>
      <c r="K3" s="41"/>
      <c r="L3" s="41"/>
      <c r="M3" s="41"/>
      <c r="N3" s="153" t="s">
        <v>484</v>
      </c>
      <c r="O3" s="43"/>
      <c r="P3" s="162" t="s">
        <v>349</v>
      </c>
      <c r="Q3" s="181" t="s">
        <v>388</v>
      </c>
      <c r="R3" s="43"/>
      <c r="S3" s="156" t="s">
        <v>73</v>
      </c>
      <c r="T3" s="165" t="s">
        <v>391</v>
      </c>
      <c r="U3" s="167" t="s">
        <v>74</v>
      </c>
      <c r="V3" s="43"/>
      <c r="W3" s="171" t="s">
        <v>75</v>
      </c>
      <c r="X3" s="172">
        <v>1.1000000000000001</v>
      </c>
      <c r="Y3" s="43"/>
      <c r="Z3" s="43"/>
      <c r="AA3" s="43"/>
      <c r="AB3" s="43"/>
      <c r="AC3" s="43"/>
      <c r="AD3" s="156" t="s">
        <v>144</v>
      </c>
      <c r="AE3" s="195" t="str">
        <f t="shared" ref="AE3:AE5" si="0">SUBSTITUTE(AD3," Temperature","")</f>
        <v>Medium</v>
      </c>
      <c r="AF3" s="43"/>
      <c r="AG3" s="156" t="s">
        <v>77</v>
      </c>
      <c r="AH3" s="43"/>
      <c r="AI3" s="43"/>
      <c r="AJ3" s="43"/>
      <c r="AK3" s="43"/>
      <c r="AL3" s="177" t="s">
        <v>78</v>
      </c>
      <c r="AN3" s="172">
        <f>IF(ISNUMBER(SEARCH("ERROR",C9&amp;C62&amp;D14&amp;D68&amp;G18)),1,0)</f>
        <v>0</v>
      </c>
      <c r="AO3" s="43"/>
      <c r="AP3" s="157">
        <v>24</v>
      </c>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row>
    <row r="4" spans="1:157" ht="39" customHeight="1" thickBot="1">
      <c r="A4" s="408" t="s">
        <v>79</v>
      </c>
      <c r="B4" s="409" t="str">
        <f>IFERROR(IF(B5="No",(B3*B6*(B19-B18)),(B3*B6/B7)*B8*(B19-B18)),"Please complete DEAPEntries tab")</f>
        <v>Please complete DEAPEntries tab</v>
      </c>
      <c r="C4" s="458" t="s">
        <v>80</v>
      </c>
      <c r="D4" s="739" t="s">
        <v>517</v>
      </c>
      <c r="E4" s="739"/>
      <c r="F4" s="739"/>
      <c r="G4" s="739"/>
      <c r="H4" s="45"/>
      <c r="I4" s="41"/>
      <c r="J4" s="44"/>
      <c r="K4" s="41"/>
      <c r="L4" s="41"/>
      <c r="M4" s="41"/>
      <c r="N4" s="153" t="s">
        <v>486</v>
      </c>
      <c r="O4" s="43"/>
      <c r="P4" s="43"/>
      <c r="Q4" s="43"/>
      <c r="R4" s="43"/>
      <c r="S4" s="156" t="s">
        <v>82</v>
      </c>
      <c r="T4" s="43"/>
      <c r="U4" s="167" t="s">
        <v>83</v>
      </c>
      <c r="V4" s="43"/>
      <c r="W4" s="171" t="s">
        <v>84</v>
      </c>
      <c r="X4" s="172">
        <v>1.1000000000000001</v>
      </c>
      <c r="Y4" s="43"/>
      <c r="Z4" s="43"/>
      <c r="AA4" s="43"/>
      <c r="AB4" s="43"/>
      <c r="AC4" s="43"/>
      <c r="AD4" s="156" t="s">
        <v>76</v>
      </c>
      <c r="AE4" s="195" t="str">
        <f t="shared" si="0"/>
        <v>High</v>
      </c>
      <c r="AF4" s="43"/>
      <c r="AG4" s="157" t="s">
        <v>85</v>
      </c>
      <c r="AH4" s="43"/>
      <c r="AI4" s="43"/>
      <c r="AJ4" s="43"/>
      <c r="AK4" s="43"/>
      <c r="AL4" s="177" t="s">
        <v>86</v>
      </c>
      <c r="AM4" s="174"/>
      <c r="AN4" s="175">
        <f>SUM(AN1:AN3)</f>
        <v>0</v>
      </c>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row>
    <row r="5" spans="1:157" ht="45.6" customHeight="1" thickBot="1">
      <c r="A5" s="408" t="s">
        <v>520</v>
      </c>
      <c r="B5" s="410" t="str">
        <f>E194</f>
        <v>No</v>
      </c>
      <c r="C5" s="458"/>
      <c r="D5" s="739"/>
      <c r="E5" s="739"/>
      <c r="F5" s="739"/>
      <c r="G5" s="739"/>
      <c r="H5" s="45"/>
      <c r="I5" s="41"/>
      <c r="J5" s="44"/>
      <c r="K5" s="41"/>
      <c r="L5" s="41"/>
      <c r="M5" s="41"/>
      <c r="N5" s="153" t="s">
        <v>81</v>
      </c>
      <c r="O5" s="43"/>
      <c r="P5" s="43"/>
      <c r="Q5" s="43"/>
      <c r="R5" s="43"/>
      <c r="S5" s="156" t="s">
        <v>392</v>
      </c>
      <c r="T5" s="43"/>
      <c r="U5" s="168" t="s">
        <v>89</v>
      </c>
      <c r="V5" s="43"/>
      <c r="W5" s="171" t="s">
        <v>90</v>
      </c>
      <c r="X5" s="172">
        <v>1.1000000000000001</v>
      </c>
      <c r="Y5" s="43"/>
      <c r="Z5" s="43"/>
      <c r="AA5" s="43"/>
      <c r="AB5" s="43"/>
      <c r="AC5" s="43"/>
      <c r="AD5" s="157" t="s">
        <v>437</v>
      </c>
      <c r="AE5" s="196" t="str">
        <f t="shared" si="0"/>
        <v>Very high</v>
      </c>
      <c r="AF5" s="43"/>
      <c r="AG5" s="43"/>
      <c r="AH5" s="43"/>
      <c r="AI5" s="43"/>
      <c r="AJ5" s="43"/>
      <c r="AK5" s="43"/>
      <c r="AL5" s="177" t="s">
        <v>91</v>
      </c>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row>
    <row r="6" spans="1:157" ht="63.6" customHeight="1">
      <c r="A6" s="408" t="s">
        <v>518</v>
      </c>
      <c r="B6" s="411">
        <f>E191</f>
        <v>0</v>
      </c>
      <c r="C6" s="458" t="s">
        <v>92</v>
      </c>
      <c r="D6" s="740"/>
      <c r="E6" s="740"/>
      <c r="F6" s="740"/>
      <c r="G6" s="740"/>
      <c r="H6" s="45"/>
      <c r="I6" s="41"/>
      <c r="J6" s="44"/>
      <c r="K6" s="41"/>
      <c r="L6" s="41"/>
      <c r="M6" s="41"/>
      <c r="N6" s="153" t="s">
        <v>486</v>
      </c>
      <c r="O6" s="43"/>
      <c r="P6" s="43"/>
      <c r="Q6" s="43"/>
      <c r="S6" s="156" t="s">
        <v>88</v>
      </c>
      <c r="T6" s="43"/>
      <c r="U6" s="53" t="s">
        <v>1</v>
      </c>
      <c r="V6" s="43"/>
      <c r="W6" s="171" t="s">
        <v>51</v>
      </c>
      <c r="X6" s="172">
        <v>1.3</v>
      </c>
      <c r="Y6" s="43"/>
      <c r="Z6" s="43"/>
      <c r="AA6" s="43"/>
      <c r="AB6" s="43"/>
      <c r="AC6" s="43"/>
      <c r="AE6" s="43"/>
      <c r="AF6" s="43"/>
      <c r="AG6" s="43"/>
      <c r="AH6" s="43"/>
      <c r="AI6" s="43"/>
      <c r="AJ6" s="43"/>
      <c r="AK6" s="43"/>
      <c r="AL6" s="177" t="s">
        <v>94</v>
      </c>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row>
    <row r="7" spans="1:157" ht="30" customHeight="1">
      <c r="A7" s="408" t="s">
        <v>95</v>
      </c>
      <c r="B7" s="412">
        <f>DEAPEntries!B5</f>
        <v>0</v>
      </c>
      <c r="C7" s="458" t="s">
        <v>519</v>
      </c>
      <c r="D7" s="739" t="str">
        <f>DEAPEntries!F5</f>
        <v>Sourced from DEAP: Building: Floors tab (or Dim tab in DEAP workbook)</v>
      </c>
      <c r="E7" s="739">
        <f>DEAPEntries!G5</f>
        <v>0</v>
      </c>
      <c r="F7" s="739">
        <f>DEAPEntries!H5</f>
        <v>0</v>
      </c>
      <c r="G7" s="739">
        <f>DEAPEntries!I5</f>
        <v>0</v>
      </c>
      <c r="H7" s="45"/>
      <c r="I7" s="41"/>
      <c r="J7" s="44"/>
      <c r="K7" s="41"/>
      <c r="L7" s="41"/>
      <c r="M7" s="41"/>
      <c r="N7" s="153" t="s">
        <v>394</v>
      </c>
      <c r="O7" s="43"/>
      <c r="P7" s="43"/>
      <c r="Q7" s="43"/>
      <c r="S7" s="156" t="s">
        <v>93</v>
      </c>
      <c r="T7" s="43"/>
      <c r="U7" s="53"/>
      <c r="V7" s="43"/>
      <c r="W7" s="171" t="s">
        <v>52</v>
      </c>
      <c r="X7" s="172">
        <v>1.34</v>
      </c>
      <c r="Y7" s="43"/>
      <c r="Z7" s="43"/>
      <c r="AA7" s="43"/>
      <c r="AB7" s="43"/>
      <c r="AC7" s="43"/>
      <c r="AE7" s="43"/>
      <c r="AF7" s="43"/>
      <c r="AG7" s="43"/>
      <c r="AH7" s="43"/>
      <c r="AI7" s="43"/>
      <c r="AJ7" s="43"/>
      <c r="AK7" s="43"/>
      <c r="AL7" s="177" t="s">
        <v>97</v>
      </c>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row>
    <row r="8" spans="1:157" ht="30" customHeight="1" thickBot="1">
      <c r="A8" s="413" t="s">
        <v>98</v>
      </c>
      <c r="B8" s="414"/>
      <c r="C8" s="458" t="s">
        <v>519</v>
      </c>
      <c r="D8" s="739" t="s">
        <v>368</v>
      </c>
      <c r="E8" s="739" t="e">
        <f>DEAPEntries!#REF!</f>
        <v>#REF!</v>
      </c>
      <c r="F8" s="739" t="e">
        <f>DEAPEntries!#REF!</f>
        <v>#REF!</v>
      </c>
      <c r="G8" s="739" t="e">
        <f>DEAPEntries!#REF!</f>
        <v>#REF!</v>
      </c>
      <c r="H8" s="45"/>
      <c r="I8" s="41"/>
      <c r="J8" s="44"/>
      <c r="K8" s="41"/>
      <c r="L8" s="41"/>
      <c r="M8" s="41"/>
      <c r="N8" s="154" t="s">
        <v>485</v>
      </c>
      <c r="O8" s="43"/>
      <c r="P8" s="43"/>
      <c r="Q8" s="43"/>
      <c r="S8" s="156" t="s">
        <v>96</v>
      </c>
      <c r="T8" s="43"/>
      <c r="U8" s="53"/>
      <c r="V8" s="43"/>
      <c r="W8" s="171" t="s">
        <v>99</v>
      </c>
      <c r="X8" s="172">
        <v>1.1000000000000001</v>
      </c>
      <c r="Y8" s="43"/>
      <c r="Z8" s="43"/>
      <c r="AA8" s="43"/>
      <c r="AB8" s="43"/>
      <c r="AC8" s="43"/>
      <c r="AD8" s="43"/>
      <c r="AE8" s="43"/>
      <c r="AF8" s="43"/>
      <c r="AG8" s="43"/>
      <c r="AH8" s="43"/>
      <c r="AI8" s="43"/>
      <c r="AJ8" s="43"/>
      <c r="AK8" s="43"/>
      <c r="AL8" s="177" t="s">
        <v>100</v>
      </c>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row>
    <row r="9" spans="1:157" ht="30" customHeight="1" thickBot="1">
      <c r="A9" s="415" t="str">
        <f>IF(N10=FALSE,"No heat Pump for Space Heating - PROCEED TO WATER HEATING","Heat Pump for Space Heating")</f>
        <v>Heat Pump for Space Heating</v>
      </c>
      <c r="B9" s="415"/>
      <c r="C9" s="736" t="str">
        <f>IF(N10,E224,".")</f>
        <v>Valid space heat pump type selected.</v>
      </c>
      <c r="D9" s="737"/>
      <c r="E9" s="737"/>
      <c r="F9" s="737"/>
      <c r="G9" s="771"/>
      <c r="H9" s="737"/>
      <c r="I9" s="738"/>
      <c r="J9" s="44"/>
      <c r="K9" s="41"/>
      <c r="L9" s="41"/>
      <c r="M9" s="41"/>
      <c r="N9" s="43" t="s">
        <v>344</v>
      </c>
      <c r="O9" s="43"/>
      <c r="P9" s="43"/>
      <c r="Q9" s="43"/>
      <c r="R9" s="43"/>
      <c r="S9" s="157" t="s">
        <v>480</v>
      </c>
      <c r="T9" s="43"/>
      <c r="U9" s="43"/>
      <c r="V9" s="43"/>
      <c r="W9" s="173" t="s">
        <v>424</v>
      </c>
      <c r="X9" s="172">
        <v>1.2</v>
      </c>
      <c r="Y9" s="43"/>
      <c r="Z9" s="43"/>
      <c r="AA9" s="43"/>
      <c r="AB9" s="43"/>
      <c r="AC9" s="43"/>
      <c r="AD9" s="43"/>
      <c r="AE9" s="43"/>
      <c r="AF9" s="43"/>
      <c r="AG9" s="43"/>
      <c r="AH9" s="43"/>
      <c r="AI9" s="43"/>
      <c r="AJ9" s="43"/>
      <c r="AK9" s="43"/>
      <c r="AL9" s="177" t="s">
        <v>101</v>
      </c>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row>
    <row r="10" spans="1:157" ht="30" customHeight="1" thickBot="1">
      <c r="A10" s="406" t="s">
        <v>102</v>
      </c>
      <c r="B10" s="416"/>
      <c r="D10" s="753" t="s">
        <v>382</v>
      </c>
      <c r="E10" s="753"/>
      <c r="F10" s="753"/>
      <c r="G10" s="149" t="s">
        <v>383</v>
      </c>
      <c r="H10" s="45"/>
      <c r="I10" s="41"/>
      <c r="J10" s="44"/>
      <c r="K10" s="41"/>
      <c r="L10" s="41"/>
      <c r="M10" s="41"/>
      <c r="N10" s="139" t="b">
        <f>M189</f>
        <v>1</v>
      </c>
      <c r="O10" s="43" t="s">
        <v>345</v>
      </c>
      <c r="P10" s="43"/>
      <c r="Q10" s="43"/>
      <c r="R10" s="43"/>
      <c r="S10" s="43"/>
      <c r="T10" s="43"/>
      <c r="U10" s="43"/>
      <c r="V10" s="43"/>
      <c r="W10" s="173" t="s">
        <v>103</v>
      </c>
      <c r="X10" s="172">
        <v>1.1000000000000001</v>
      </c>
      <c r="Y10" s="43"/>
      <c r="Z10" s="43"/>
      <c r="AA10" s="43"/>
      <c r="AB10" s="43"/>
      <c r="AC10" s="43"/>
      <c r="AD10" s="43"/>
      <c r="AE10" s="43"/>
      <c r="AF10" s="43"/>
      <c r="AG10" s="43"/>
      <c r="AH10" s="43"/>
      <c r="AI10" s="43"/>
      <c r="AJ10" s="43"/>
      <c r="AK10" s="43"/>
      <c r="AL10" s="178" t="s">
        <v>104</v>
      </c>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row>
    <row r="11" spans="1:157" ht="30" customHeight="1">
      <c r="A11" s="408" t="s">
        <v>105</v>
      </c>
      <c r="B11" s="417"/>
      <c r="D11" s="754" t="s">
        <v>384</v>
      </c>
      <c r="E11" s="754"/>
      <c r="F11" s="754"/>
      <c r="G11" s="149" t="s">
        <v>44</v>
      </c>
      <c r="H11" s="45"/>
      <c r="I11" s="41"/>
      <c r="J11" s="44"/>
      <c r="K11" s="41"/>
      <c r="L11" s="41"/>
      <c r="M11" s="41"/>
      <c r="N11" s="139" t="b">
        <f>M190</f>
        <v>1</v>
      </c>
      <c r="O11" s="43" t="s">
        <v>346</v>
      </c>
      <c r="P11" s="43"/>
      <c r="Q11" s="43"/>
      <c r="R11" s="43"/>
      <c r="S11" s="43"/>
      <c r="T11" s="43"/>
      <c r="U11" s="43"/>
      <c r="V11" s="43"/>
      <c r="W11" s="173" t="s">
        <v>106</v>
      </c>
      <c r="X11" s="172">
        <v>1.1000000000000001</v>
      </c>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row>
    <row r="12" spans="1:157" ht="126.6" customHeight="1" thickBot="1">
      <c r="A12" s="408" t="s">
        <v>107</v>
      </c>
      <c r="B12" s="417" t="s">
        <v>55</v>
      </c>
      <c r="C12" s="134" t="str">
        <f>IF(E189="Exhaust Air Heat Pump",
IF(LEFT(B12,7)&lt;&gt;"Exhaust","Warning: Type of heat pump selected here and in DEAPEntries tab do not match. 
Check entries",""),
IF(LEFT(B12,7)="Exhaust","Warning: Type of heat pump selected here and in DEAPEntries tab do not match. 
Check entries",""))</f>
        <v/>
      </c>
      <c r="D12" s="754" t="s">
        <v>390</v>
      </c>
      <c r="E12" s="754"/>
      <c r="F12" s="754"/>
      <c r="G12" s="150" t="s">
        <v>385</v>
      </c>
      <c r="H12" s="45"/>
      <c r="I12" s="41"/>
      <c r="J12" s="44"/>
      <c r="K12" s="41"/>
      <c r="L12" s="41"/>
      <c r="M12" s="41"/>
      <c r="N12" s="139" t="b">
        <f>IF(AND(N10=TRUE,N11=TRUE,$B$14&lt;&gt;$N$3),IF(B67="Same Heat Pump providing Space Heating and Domestic Hot Water",TRUE,FALSE),FALSE)</f>
        <v>1</v>
      </c>
      <c r="O12" s="43" t="s">
        <v>350</v>
      </c>
      <c r="P12" s="43"/>
      <c r="Q12" s="43"/>
      <c r="R12" s="43"/>
      <c r="S12" s="43"/>
      <c r="T12" s="43"/>
      <c r="U12" s="43"/>
      <c r="V12" s="43"/>
      <c r="W12" s="174" t="s">
        <v>108</v>
      </c>
      <c r="X12" s="175">
        <v>1.1000000000000001</v>
      </c>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row>
    <row r="13" spans="1:157" ht="78.599999999999994" customHeight="1">
      <c r="A13" s="408" t="s">
        <v>109</v>
      </c>
      <c r="B13" s="417" t="s">
        <v>57</v>
      </c>
      <c r="D13" s="750" t="s">
        <v>110</v>
      </c>
      <c r="E13" s="750"/>
      <c r="F13" s="750"/>
      <c r="G13" s="256" t="s">
        <v>477</v>
      </c>
      <c r="H13" s="45"/>
      <c r="I13" s="41"/>
      <c r="J13" s="44"/>
      <c r="K13" s="41"/>
      <c r="L13" s="41"/>
      <c r="M13" s="41"/>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row>
    <row r="14" spans="1:157" ht="121.9" customHeight="1">
      <c r="A14" s="408" t="s">
        <v>111</v>
      </c>
      <c r="B14" s="418" t="s">
        <v>54</v>
      </c>
      <c r="C14" s="458"/>
      <c r="D14" s="746" t="str">
        <f>IFERROR(IF(OR(N10&lt;&gt;TRUE,ISNUMBER(SEARCH($B14,E229))),
".",
"ERROR:Check the option selected for space heating standard. Valid option(s) for this heat pump type as follows: "&amp;CHAR(10)&amp;E229),".")</f>
        <v>.</v>
      </c>
      <c r="E14" s="746"/>
      <c r="F14" s="746"/>
      <c r="G14" s="256" t="str">
        <f>A225&amp;E225</f>
        <v>Heat pump type:Air to Water</v>
      </c>
      <c r="H14" s="45"/>
      <c r="I14" s="41"/>
      <c r="J14" s="44"/>
      <c r="K14" s="41"/>
      <c r="L14" s="41"/>
      <c r="M14" s="41"/>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row>
    <row r="15" spans="1:157" ht="30" customHeight="1">
      <c r="A15" s="419" t="s">
        <v>112</v>
      </c>
      <c r="B15" s="418" t="s">
        <v>1</v>
      </c>
      <c r="C15" s="459" t="s">
        <v>113</v>
      </c>
      <c r="D15" s="750" t="s">
        <v>114</v>
      </c>
      <c r="E15" s="750"/>
      <c r="F15" s="750"/>
      <c r="G15" s="256" t="str">
        <f>A226&amp;E226</f>
        <v>Electric or GAHP:Electricity</v>
      </c>
      <c r="H15" s="45"/>
      <c r="I15" s="41"/>
      <c r="J15" s="44"/>
      <c r="K15" s="41"/>
      <c r="L15" s="41"/>
      <c r="M15" s="41"/>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row>
    <row r="16" spans="1:157" ht="30" customHeight="1">
      <c r="A16" s="419" t="s">
        <v>115</v>
      </c>
      <c r="B16" s="418" t="s">
        <v>1</v>
      </c>
      <c r="C16" s="459" t="s">
        <v>113</v>
      </c>
      <c r="D16" s="750" t="s">
        <v>114</v>
      </c>
      <c r="E16" s="750"/>
      <c r="F16" s="750"/>
      <c r="G16" s="256" t="str">
        <f>A227&amp;E227</f>
        <v>Low temp:Not low temperature heat pump</v>
      </c>
      <c r="H16" s="45"/>
      <c r="I16" s="41"/>
      <c r="J16" s="44"/>
      <c r="K16" s="41"/>
      <c r="L16" s="41"/>
      <c r="M16" s="41"/>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row>
    <row r="17" spans="1:157" ht="49.9" customHeight="1" thickBot="1">
      <c r="A17" s="420" t="s">
        <v>116</v>
      </c>
      <c r="B17" s="421">
        <f>IF(B5="Yes",B6*(1-DEAPEntries!B8)*(1-DEAPEntries!B7)*DEAPEntries!B4/DEAPEntries!I10,
                       B6*(1-DEAPEntries!B8)*(1-DEAPEntries!B7)*DEAPEntries!B4)</f>
        <v>0</v>
      </c>
      <c r="C17" s="458" t="s">
        <v>43</v>
      </c>
      <c r="D17" s="756"/>
      <c r="E17" s="756"/>
      <c r="F17" s="756"/>
      <c r="G17" s="256" t="str">
        <f>A228&amp;E228</f>
        <v>Ecodesign based stds:Ecodesign applies and/or ecodesign data available</v>
      </c>
      <c r="H17" s="218"/>
      <c r="I17" s="61"/>
      <c r="J17" s="44"/>
      <c r="K17" s="41"/>
      <c r="L17" s="41"/>
      <c r="M17" s="41"/>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row>
    <row r="18" spans="1:157" ht="42" customHeight="1" thickBot="1">
      <c r="A18" s="422" t="s">
        <v>117</v>
      </c>
      <c r="B18" s="423">
        <v>-3</v>
      </c>
      <c r="C18" s="459" t="s">
        <v>113</v>
      </c>
      <c r="D18" s="741" t="s">
        <v>118</v>
      </c>
      <c r="E18" s="741"/>
      <c r="F18" s="741"/>
      <c r="G18" s="259" t="str">
        <f>IF(AND(B16&gt;=52,G10=R1),"ERROR: WTOL can't be &gt;=52degC for low temperature heat pumps",IF(AND(B16&gt;45,G10=R1),"Warning: low temperature heat pump test data will only be available up to 45degC",""))</f>
        <v/>
      </c>
      <c r="H18" s="56"/>
      <c r="I18" s="57"/>
      <c r="J18" s="44"/>
      <c r="K18" s="41"/>
      <c r="L18" s="41"/>
      <c r="M18" s="41"/>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row>
    <row r="19" spans="1:157" ht="30" customHeight="1" thickBot="1">
      <c r="A19" s="424" t="s">
        <v>119</v>
      </c>
      <c r="B19" s="425" t="str">
        <f>IFERROR(21*DEAPEntries!B6/DEAPEntries!B5+(1-DEAPEntries!B6/DEAPEntries!B5)*18,"Please complete DEAP Entries tab")</f>
        <v>Please complete DEAP Entries tab</v>
      </c>
      <c r="C19" s="459" t="s">
        <v>113</v>
      </c>
      <c r="D19" s="741" t="s">
        <v>120</v>
      </c>
      <c r="E19" s="741"/>
      <c r="F19" s="741"/>
      <c r="G19" s="215"/>
      <c r="H19" s="56"/>
      <c r="I19" s="57"/>
      <c r="J19" s="44"/>
      <c r="K19" s="41"/>
      <c r="L19" s="41"/>
      <c r="M19" s="41"/>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row>
    <row r="20" spans="1:157" ht="30" customHeight="1">
      <c r="A20" s="405" t="s">
        <v>419</v>
      </c>
      <c r="B20" s="191" t="s">
        <v>121</v>
      </c>
      <c r="C20" s="458"/>
      <c r="D20" s="34"/>
      <c r="E20" s="34"/>
      <c r="F20" s="34"/>
      <c r="H20" s="56"/>
      <c r="I20" s="57"/>
      <c r="J20" s="44"/>
      <c r="K20" s="41"/>
      <c r="L20" s="41"/>
      <c r="M20" s="41"/>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row>
    <row r="21" spans="1:157" ht="30" customHeight="1">
      <c r="A21" s="93" t="s">
        <v>122</v>
      </c>
      <c r="B21" s="216" t="s">
        <v>37</v>
      </c>
      <c r="H21" s="56"/>
      <c r="I21" s="57"/>
      <c r="J21" s="44"/>
      <c r="K21" s="41"/>
      <c r="L21" s="41"/>
      <c r="M21" s="41"/>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row>
    <row r="22" spans="1:157" ht="30" customHeight="1">
      <c r="A22" s="93" t="s">
        <v>123</v>
      </c>
      <c r="B22" s="216" t="s">
        <v>38</v>
      </c>
      <c r="D22" s="733" t="s">
        <v>124</v>
      </c>
      <c r="E22" s="733"/>
      <c r="F22" s="733"/>
      <c r="H22" s="56"/>
      <c r="I22" s="57"/>
      <c r="J22" s="44"/>
      <c r="K22" s="41"/>
      <c r="L22" s="41"/>
      <c r="M22" s="41"/>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c r="CS22" s="43"/>
      <c r="CT22" s="43"/>
      <c r="CU22" s="43"/>
      <c r="CV22" s="43"/>
      <c r="CW22" s="43"/>
      <c r="CX22" s="43"/>
      <c r="CY22" s="43"/>
      <c r="CZ22" s="43"/>
      <c r="DA22" s="43"/>
      <c r="DB22" s="43"/>
      <c r="DC22" s="43"/>
      <c r="DD22" s="43"/>
      <c r="DE22" s="43"/>
      <c r="DF22" s="43"/>
      <c r="DG22" s="43"/>
      <c r="DH22" s="43"/>
      <c r="DI22" s="43"/>
      <c r="DJ22" s="43"/>
      <c r="DK22" s="43"/>
      <c r="DL22" s="43"/>
      <c r="DM22" s="43"/>
      <c r="DN22" s="43"/>
      <c r="DO22" s="43"/>
      <c r="DP22" s="43"/>
      <c r="DQ22" s="43"/>
      <c r="DR22" s="43"/>
      <c r="DS22" s="43"/>
      <c r="DT22" s="43"/>
      <c r="DU22" s="43"/>
      <c r="DV22" s="43"/>
      <c r="DW22" s="43"/>
      <c r="DX22" s="43"/>
      <c r="DY22" s="43"/>
      <c r="DZ22" s="43"/>
      <c r="EA22" s="43"/>
      <c r="EB22" s="43"/>
      <c r="EC22" s="43"/>
      <c r="ED22" s="43"/>
      <c r="EE22" s="43"/>
      <c r="EF22" s="43"/>
      <c r="EG22" s="43"/>
      <c r="EH22" s="43"/>
      <c r="EI22" s="43"/>
      <c r="EJ22" s="43"/>
      <c r="EK22" s="43"/>
      <c r="EL22" s="43"/>
      <c r="EM22" s="43"/>
      <c r="EN22" s="43"/>
      <c r="EO22" s="43"/>
      <c r="EP22" s="43"/>
      <c r="EQ22" s="43"/>
      <c r="ER22" s="43"/>
      <c r="ES22" s="43"/>
      <c r="ET22" s="43"/>
      <c r="EU22" s="43"/>
      <c r="EV22" s="43"/>
      <c r="EW22" s="43"/>
      <c r="EX22" s="43"/>
      <c r="EY22" s="43"/>
      <c r="EZ22" s="43"/>
      <c r="FA22" s="43"/>
    </row>
    <row r="23" spans="1:157" ht="33" customHeight="1" thickBot="1">
      <c r="A23" s="94" t="s">
        <v>125</v>
      </c>
      <c r="B23" s="217" t="s">
        <v>38</v>
      </c>
      <c r="D23" s="63">
        <f>IF(B24="Yes",35,IF(B21="Yes",55,IF(B22="Yes",45,35)))</f>
        <v>55</v>
      </c>
      <c r="E23" s="54" t="s">
        <v>113</v>
      </c>
      <c r="F23" s="120" t="s">
        <v>126</v>
      </c>
      <c r="H23" s="56"/>
      <c r="I23" s="57"/>
      <c r="J23" s="45"/>
      <c r="K23" s="41"/>
      <c r="L23" s="41"/>
      <c r="M23" s="41"/>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row>
    <row r="24" spans="1:157" ht="30" customHeight="1">
      <c r="A24" s="426" t="s">
        <v>127</v>
      </c>
      <c r="B24" s="427" t="str">
        <f>IF(RIGHT(B12,6)="to Air","Yes","No")</f>
        <v>No</v>
      </c>
      <c r="D24" s="742" t="str">
        <f>IF(AND(B24="No",B25&gt;B16,OR(B14=N1,B14=N2)),
"ERROR: Design Flow Temperature is greater than Heat Pumps Operating Limit, please correct",
"")</f>
        <v/>
      </c>
      <c r="E24" s="743"/>
      <c r="F24" s="744"/>
      <c r="H24" s="56"/>
      <c r="I24" s="57"/>
      <c r="J24" s="44"/>
      <c r="K24" s="41"/>
      <c r="L24" s="41"/>
      <c r="M24" s="41"/>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row>
    <row r="25" spans="1:157" ht="69.599999999999994" customHeight="1">
      <c r="A25" s="428" t="s">
        <v>128</v>
      </c>
      <c r="B25" s="429"/>
      <c r="C25" s="54" t="s">
        <v>113</v>
      </c>
      <c r="D25" s="742" t="str">
        <f>(IF(B25&lt;D23,"WARNING: As design flow temperature is less than default, please ensure that documentary evidence is available to support it",""))</f>
        <v>WARNING: As design flow temperature is less than default, please ensure that documentary evidence is available to support it</v>
      </c>
      <c r="E25" s="743"/>
      <c r="F25" s="744"/>
      <c r="H25" s="56"/>
      <c r="I25" s="57"/>
      <c r="J25" s="44"/>
      <c r="K25" s="41"/>
      <c r="L25" s="41"/>
      <c r="M25" s="41"/>
      <c r="N25" s="43"/>
      <c r="O25" s="43" t="s">
        <v>129</v>
      </c>
      <c r="P25" s="43"/>
      <c r="Q25" s="43"/>
      <c r="R25" s="43"/>
      <c r="S25" s="43"/>
      <c r="T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43"/>
      <c r="DP25" s="43"/>
      <c r="DQ25" s="43"/>
      <c r="DR25" s="43"/>
      <c r="DS25" s="43"/>
      <c r="DT25" s="43"/>
      <c r="DU25" s="43"/>
      <c r="DV25" s="43"/>
      <c r="DW25" s="43"/>
      <c r="DX25" s="43"/>
      <c r="DY25" s="43"/>
      <c r="DZ25" s="43"/>
      <c r="EA25" s="43"/>
      <c r="EB25" s="43"/>
      <c r="EC25" s="43"/>
      <c r="ED25" s="43"/>
      <c r="EE25" s="43"/>
      <c r="EF25" s="43"/>
      <c r="EG25" s="43"/>
      <c r="EH25" s="43"/>
      <c r="EI25" s="43"/>
      <c r="EJ25" s="43"/>
      <c r="EK25" s="43"/>
      <c r="EL25" s="43"/>
      <c r="EM25" s="43"/>
      <c r="EN25" s="43"/>
      <c r="EO25" s="43"/>
      <c r="EP25" s="43"/>
      <c r="EQ25" s="43"/>
      <c r="ER25" s="43"/>
      <c r="ES25" s="43"/>
      <c r="ET25" s="43"/>
      <c r="EU25" s="43"/>
      <c r="EV25" s="43"/>
      <c r="EW25" s="43"/>
      <c r="EX25" s="43"/>
      <c r="EY25" s="43"/>
      <c r="EZ25" s="43"/>
      <c r="FA25" s="43"/>
    </row>
    <row r="26" spans="1:157" s="53" customFormat="1" ht="30" customHeight="1">
      <c r="A26" s="422" t="s">
        <v>130</v>
      </c>
      <c r="B26" s="430">
        <f>IF(B24="Yes",1,1.2)</f>
        <v>1.2</v>
      </c>
      <c r="D26" s="755" t="s">
        <v>131</v>
      </c>
      <c r="E26" s="755"/>
      <c r="F26" s="755"/>
      <c r="H26" s="56"/>
      <c r="I26" s="57"/>
      <c r="J26" s="44"/>
      <c r="K26" s="41"/>
      <c r="L26" s="41"/>
      <c r="M26" s="41"/>
      <c r="N26" s="34"/>
      <c r="O26" s="34"/>
      <c r="P26" s="34"/>
      <c r="Q26" s="34"/>
      <c r="R26" s="34"/>
      <c r="S26" s="34"/>
      <c r="T26" s="34"/>
      <c r="X26" s="34"/>
      <c r="Y26" s="34"/>
      <c r="Z26" s="34"/>
      <c r="AA26" s="34"/>
      <c r="AB26" s="34"/>
      <c r="AC26" s="34"/>
      <c r="AD26" s="34"/>
      <c r="AE26" s="34"/>
      <c r="AF26" s="34"/>
      <c r="AG26" s="34"/>
      <c r="AH26" s="34"/>
      <c r="AI26" s="34"/>
      <c r="AJ26" s="34"/>
      <c r="AK26" s="34"/>
      <c r="AL26" s="34"/>
      <c r="AM26" s="34"/>
      <c r="AN26" s="34"/>
      <c r="AO26" s="34"/>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row>
    <row r="27" spans="1:157" ht="30" customHeight="1">
      <c r="A27" s="422" t="s">
        <v>132</v>
      </c>
      <c r="B27" s="430">
        <f>IF(B24="Yes",5,IF(B21="Yes",10,IF(B22="Yes",7.5,5)))</f>
        <v>10</v>
      </c>
      <c r="C27" s="54" t="s">
        <v>113</v>
      </c>
      <c r="D27" s="739" t="s">
        <v>131</v>
      </c>
      <c r="E27" s="739"/>
      <c r="F27" s="739"/>
      <c r="G27" s="53"/>
      <c r="H27" s="56"/>
      <c r="I27" s="57"/>
      <c r="J27" s="58"/>
      <c r="K27" s="57"/>
      <c r="L27" s="57"/>
      <c r="M27" s="57"/>
      <c r="N27" s="53"/>
      <c r="O27" s="53"/>
      <c r="P27" s="53"/>
      <c r="Q27" s="53"/>
      <c r="R27" s="53"/>
      <c r="S27" s="53"/>
      <c r="T27" s="53"/>
      <c r="X27" s="53"/>
      <c r="Y27" s="53"/>
      <c r="Z27" s="53"/>
      <c r="AA27" s="53"/>
      <c r="AB27" s="53"/>
      <c r="AC27" s="53"/>
      <c r="AD27" s="53"/>
      <c r="AE27" s="53"/>
      <c r="AF27" s="53"/>
      <c r="AG27" s="53"/>
      <c r="AH27" s="53"/>
      <c r="AI27" s="53"/>
      <c r="AJ27" s="53"/>
      <c r="AK27" s="53"/>
      <c r="AL27" s="53"/>
      <c r="AM27" s="53"/>
      <c r="AN27" s="53"/>
      <c r="AO27" s="53"/>
    </row>
    <row r="28" spans="1:157" s="53" customFormat="1" ht="30" customHeight="1">
      <c r="A28" s="422" t="s">
        <v>133</v>
      </c>
      <c r="B28" s="430">
        <f>B25-B27</f>
        <v>-10</v>
      </c>
      <c r="D28" s="35"/>
      <c r="E28" s="35"/>
      <c r="F28" s="35"/>
      <c r="H28" s="56"/>
      <c r="I28" s="57"/>
      <c r="J28" s="58"/>
      <c r="K28" s="57"/>
      <c r="L28" s="57"/>
      <c r="M28" s="57"/>
      <c r="U28" s="34"/>
      <c r="V28" s="34"/>
      <c r="W28" s="34"/>
    </row>
    <row r="29" spans="1:157" s="53" customFormat="1" ht="30" customHeight="1">
      <c r="A29" s="420" t="s">
        <v>134</v>
      </c>
      <c r="B29" s="429">
        <v>8</v>
      </c>
      <c r="C29" s="34" t="s">
        <v>39</v>
      </c>
      <c r="D29" s="733" t="s">
        <v>135</v>
      </c>
      <c r="E29" s="733"/>
      <c r="F29" s="733"/>
      <c r="G29" s="34"/>
      <c r="H29" s="56"/>
      <c r="I29" s="57"/>
      <c r="J29" s="58"/>
      <c r="K29" s="57"/>
      <c r="L29" s="57"/>
      <c r="M29" s="57"/>
      <c r="U29" s="34"/>
      <c r="V29" s="34"/>
      <c r="W29" s="34"/>
    </row>
    <row r="30" spans="1:157" s="53" customFormat="1" ht="30" customHeight="1">
      <c r="A30" s="422" t="s">
        <v>136</v>
      </c>
      <c r="B30" s="430">
        <f>24-B29</f>
        <v>16</v>
      </c>
      <c r="C30" s="53" t="s">
        <v>1</v>
      </c>
      <c r="D30" s="35"/>
      <c r="E30" s="35"/>
      <c r="F30" s="35"/>
      <c r="H30" s="56"/>
      <c r="I30" s="57"/>
      <c r="J30" s="58"/>
      <c r="K30" s="57"/>
      <c r="L30" s="57"/>
      <c r="M30" s="57"/>
      <c r="U30" s="34"/>
      <c r="V30" s="34"/>
      <c r="W30" s="34"/>
    </row>
    <row r="31" spans="1:157" s="53" customFormat="1" ht="30" customHeight="1">
      <c r="A31" s="422" t="s">
        <v>422</v>
      </c>
      <c r="B31" s="431">
        <f>IF(G11=$Q$2,$X$2,$X$3)</f>
        <v>2.08</v>
      </c>
      <c r="D31" s="741" t="s">
        <v>423</v>
      </c>
      <c r="E31" s="741"/>
      <c r="F31" s="741"/>
      <c r="H31" s="56"/>
      <c r="I31" s="57"/>
      <c r="J31" s="58"/>
      <c r="K31" s="57"/>
      <c r="L31" s="57"/>
      <c r="M31" s="57"/>
      <c r="U31" s="34"/>
      <c r="V31" s="34"/>
      <c r="W31" s="34"/>
    </row>
    <row r="32" spans="1:157" s="53" customFormat="1" ht="30" customHeight="1">
      <c r="A32" s="422" t="s">
        <v>138</v>
      </c>
      <c r="B32" s="432" t="s">
        <v>38</v>
      </c>
      <c r="C32" s="34"/>
      <c r="D32" s="733" t="s">
        <v>139</v>
      </c>
      <c r="E32" s="733"/>
      <c r="F32" s="733"/>
      <c r="G32" s="34"/>
      <c r="H32" s="56"/>
      <c r="I32" s="57"/>
      <c r="J32" s="58"/>
      <c r="K32" s="57"/>
      <c r="L32" s="57"/>
      <c r="M32" s="57"/>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row>
    <row r="33" spans="1:41" ht="30" customHeight="1">
      <c r="A33" s="420" t="s">
        <v>140</v>
      </c>
      <c r="B33" s="429" t="s">
        <v>44</v>
      </c>
      <c r="D33" s="733" t="s">
        <v>139</v>
      </c>
      <c r="E33" s="733"/>
      <c r="F33" s="733"/>
      <c r="H33" s="56"/>
      <c r="I33" s="57"/>
      <c r="J33" s="58"/>
      <c r="K33" s="57"/>
      <c r="L33" s="57"/>
      <c r="M33" s="57"/>
    </row>
    <row r="34" spans="1:41" ht="47.25" customHeight="1">
      <c r="A34" s="420" t="s">
        <v>141</v>
      </c>
      <c r="B34" s="433">
        <f>VLOOKUP(B33,W2:X12,2,)</f>
        <v>2.08</v>
      </c>
      <c r="H34" s="56"/>
      <c r="I34" s="57"/>
      <c r="J34" s="58"/>
      <c r="K34" s="41"/>
      <c r="L34" s="41"/>
      <c r="M34" s="41"/>
    </row>
    <row r="35" spans="1:41" ht="30" customHeight="1">
      <c r="A35" s="422" t="s">
        <v>142</v>
      </c>
      <c r="B35" s="434"/>
      <c r="C35" s="34" t="s">
        <v>92</v>
      </c>
      <c r="D35" s="733" t="s">
        <v>143</v>
      </c>
      <c r="E35" s="733"/>
      <c r="F35" s="733"/>
      <c r="H35" s="56"/>
      <c r="I35" s="57"/>
      <c r="J35" s="58"/>
      <c r="K35" s="57"/>
      <c r="L35" s="57"/>
      <c r="M35" s="57"/>
    </row>
    <row r="36" spans="1:41" ht="30" customHeight="1">
      <c r="A36" s="428" t="s">
        <v>425</v>
      </c>
      <c r="B36" s="433">
        <f>IF(B32="Yes",(B31/B34)*B35,1)</f>
        <v>1</v>
      </c>
      <c r="C36" s="53"/>
      <c r="D36" s="35"/>
      <c r="E36" s="35"/>
      <c r="F36" s="35"/>
      <c r="G36" s="155"/>
      <c r="H36" s="56"/>
      <c r="I36" s="57"/>
      <c r="J36" s="58"/>
      <c r="K36" s="41"/>
      <c r="L36" s="41"/>
      <c r="M36" s="41"/>
    </row>
    <row r="37" spans="1:41" s="53" customFormat="1" ht="34.15" customHeight="1" thickBot="1">
      <c r="C37" s="34"/>
      <c r="D37" s="66"/>
      <c r="E37" s="66"/>
      <c r="F37" s="66"/>
      <c r="G37" s="34"/>
      <c r="H37" s="261" t="s">
        <v>481</v>
      </c>
      <c r="I37" s="261" t="s">
        <v>482</v>
      </c>
      <c r="J37" s="261" t="s">
        <v>483</v>
      </c>
      <c r="K37" s="41"/>
      <c r="L37" s="41"/>
      <c r="M37" s="41"/>
      <c r="N37" s="34"/>
      <c r="P37" s="43"/>
      <c r="Q37" s="34"/>
      <c r="R37" s="34"/>
      <c r="S37" s="34"/>
      <c r="T37" s="34"/>
      <c r="U37" s="65"/>
      <c r="V37" s="65"/>
      <c r="W37" s="65"/>
      <c r="X37" s="34"/>
      <c r="Y37" s="34"/>
      <c r="Z37" s="34"/>
      <c r="AA37" s="34"/>
      <c r="AB37" s="34"/>
      <c r="AC37" s="34"/>
      <c r="AD37" s="34"/>
      <c r="AE37" s="34"/>
      <c r="AF37" s="34"/>
      <c r="AG37" s="34"/>
      <c r="AH37" s="34"/>
      <c r="AI37" s="34"/>
      <c r="AJ37" s="34"/>
      <c r="AK37" s="34"/>
      <c r="AL37" s="34"/>
      <c r="AM37" s="34"/>
      <c r="AN37" s="34"/>
      <c r="AO37" s="34"/>
    </row>
    <row r="38" spans="1:41" ht="78.599999999999994" customHeight="1">
      <c r="A38" s="768" t="str">
        <f>"Select the test Conditions according to the test data available from "&amp;B14</f>
        <v>Select the test Conditions according to the test data available from I.S. EN 14825</v>
      </c>
      <c r="B38" s="435" t="str">
        <f>AD4</f>
        <v>High Temperature</v>
      </c>
      <c r="C38" s="432" t="s">
        <v>37</v>
      </c>
      <c r="D38" s="759" t="str">
        <f>"Source from Ecodesign Data or accredited tests to " &amp;B14</f>
        <v>Source from Ecodesign Data or accredited tests to I.S. EN 14825</v>
      </c>
      <c r="E38" s="760"/>
      <c r="F38" s="761"/>
      <c r="G38" s="747" t="str">
        <f>"GUIDANCE NOTE: 
" &amp; IF($B$24="Yes","This is a 'to-air' heat pump. Select NO for all but "&amp;B38,
IF($G$10=$R$2,B38&amp;" Application Data is a mandatory requirement under Ecodesign Directive for this heat pump so must be selected as well as any other temperature applications for which test data is available",
B39&amp;" Application Data is a mandatory requirement under Ecodesign Directive for this heat pump so must be selected. If it is available, application data may also be selected at "&amp;B40))</f>
        <v>GUIDANCE NOTE: 
High Temperature Application Data is a mandatory requirement under Ecodesign Directive for this heat pump so must be selected as well as any other temperature applications for which test data is available</v>
      </c>
      <c r="H38" s="261" t="b">
        <f>IF($B$24="Yes",TRUE,FALSE)</f>
        <v>0</v>
      </c>
      <c r="I38" s="261" t="b">
        <f>IF($G$10=$R$1,TRUE,FALSE)</f>
        <v>0</v>
      </c>
      <c r="J38" s="261" t="str">
        <f>IF($I$38,"No","Yes")</f>
        <v>Yes</v>
      </c>
      <c r="K38" s="57"/>
      <c r="L38" s="57"/>
      <c r="M38" s="57"/>
      <c r="N38" s="53"/>
      <c r="O38" s="43"/>
      <c r="P38" s="4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row>
    <row r="39" spans="1:41" s="53" customFormat="1" ht="31.5" customHeight="1">
      <c r="A39" s="769"/>
      <c r="B39" s="435" t="str">
        <f>AD2</f>
        <v>Low Temperature</v>
      </c>
      <c r="C39" s="432" t="s">
        <v>38</v>
      </c>
      <c r="D39" s="762"/>
      <c r="E39" s="763"/>
      <c r="F39" s="764"/>
      <c r="G39" s="748"/>
      <c r="H39" s="72"/>
      <c r="I39" s="57"/>
      <c r="J39" s="261" t="str">
        <f>IF($I$38,"Yes",IF($H$38,"No",C39))</f>
        <v>No</v>
      </c>
      <c r="K39" s="57"/>
      <c r="L39" s="57"/>
      <c r="M39" s="57"/>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row>
    <row r="40" spans="1:41" ht="25.9" customHeight="1">
      <c r="A40" s="769"/>
      <c r="B40" s="435" t="str">
        <f>AD3</f>
        <v>Medium Temperature</v>
      </c>
      <c r="C40" s="432" t="s">
        <v>38</v>
      </c>
      <c r="D40" s="762"/>
      <c r="E40" s="763"/>
      <c r="F40" s="764"/>
      <c r="G40" s="748"/>
      <c r="H40" s="72"/>
      <c r="I40" s="57"/>
      <c r="J40" s="261" t="str">
        <f>IF($I$38,C40,IF($H$38,"No",C40))</f>
        <v>No</v>
      </c>
      <c r="K40" s="57"/>
      <c r="L40" s="57"/>
      <c r="M40" s="57"/>
    </row>
    <row r="41" spans="1:41" ht="26.45" customHeight="1" thickBot="1">
      <c r="A41" s="770"/>
      <c r="B41" s="435" t="str">
        <f>AD5</f>
        <v>Very high Temperature</v>
      </c>
      <c r="C41" s="432" t="s">
        <v>38</v>
      </c>
      <c r="D41" s="765"/>
      <c r="E41" s="766"/>
      <c r="F41" s="767"/>
      <c r="G41" s="749"/>
      <c r="H41" s="72"/>
      <c r="I41" s="57"/>
      <c r="J41" s="261" t="str">
        <f>IF($I$38,"No",IF($H$38,"No",C41))</f>
        <v>No</v>
      </c>
      <c r="K41" s="57"/>
      <c r="L41" s="57"/>
      <c r="M41" s="57"/>
      <c r="U41" s="65"/>
      <c r="V41" s="65"/>
      <c r="W41" s="65"/>
    </row>
    <row r="42" spans="1:41" ht="66.599999999999994" customHeight="1" thickBot="1">
      <c r="A42" s="74"/>
      <c r="B42" s="183" t="str">
        <f>"Maximum test temperature allowed for in tests to "&amp;B14</f>
        <v>Maximum test temperature allowed for in tests to I.S. EN 14825</v>
      </c>
      <c r="C42" s="184">
        <f>IF($B$24="Yes",35,IF(C41="Yes",65,IF(C38="Yes",55,IF(C40="Yes",45,35))))</f>
        <v>55</v>
      </c>
      <c r="D42" s="757" t="str">
        <f>IF(B25&gt;C42,"ERROR: Heat Pump data not suitable for Design Flow Temperature, test data must be available for higher supply temperature","")</f>
        <v/>
      </c>
      <c r="E42" s="758"/>
      <c r="F42" s="758"/>
      <c r="G42" s="260" t="str">
        <f>IF(C38&amp;C39&amp;C40&amp;C41&lt;&gt;J38&amp;J39&amp;J40&amp;J41,"Warning: incorrect application temperatures selected for this heat pump type. Check entries please.","")</f>
        <v/>
      </c>
      <c r="H42" s="72"/>
      <c r="I42" s="72"/>
      <c r="J42" s="58"/>
      <c r="K42" s="57"/>
      <c r="L42" s="57"/>
      <c r="M42" s="57"/>
      <c r="U42" s="65"/>
      <c r="V42" s="65"/>
      <c r="W42" s="65"/>
    </row>
    <row r="43" spans="1:41" ht="33.75" customHeight="1" thickBot="1">
      <c r="A43" s="77" t="s">
        <v>1</v>
      </c>
      <c r="B43" s="185" t="str">
        <f>"Test Conditions "&amp;B14</f>
        <v>Test Conditions I.S. EN 14825</v>
      </c>
      <c r="C43" s="188" t="s">
        <v>145</v>
      </c>
      <c r="D43" s="189" t="s">
        <v>146</v>
      </c>
      <c r="E43" s="189" t="s">
        <v>147</v>
      </c>
      <c r="F43" s="189" t="s">
        <v>148</v>
      </c>
      <c r="G43" s="190" t="s">
        <v>149</v>
      </c>
      <c r="H43" s="78"/>
      <c r="I43" s="79"/>
      <c r="J43" s="58"/>
      <c r="K43" s="41"/>
      <c r="L43" s="41"/>
      <c r="M43" s="41"/>
      <c r="N43" s="53"/>
      <c r="O43" s="53"/>
      <c r="P43" s="53"/>
      <c r="Q43" s="53"/>
      <c r="R43" s="53" t="s">
        <v>1</v>
      </c>
      <c r="S43" s="53" t="s">
        <v>1</v>
      </c>
      <c r="T43" s="53"/>
      <c r="U43" s="53"/>
      <c r="V43" s="53"/>
      <c r="W43" s="53"/>
      <c r="X43" s="53"/>
      <c r="Y43" s="53"/>
      <c r="Z43" s="53"/>
      <c r="AA43" s="53"/>
      <c r="AB43" s="53"/>
      <c r="AC43" s="53"/>
      <c r="AD43" s="53"/>
      <c r="AE43" s="53"/>
      <c r="AF43" s="53"/>
      <c r="AG43" s="53"/>
      <c r="AH43" s="53"/>
      <c r="AI43" s="53"/>
      <c r="AJ43" s="53"/>
      <c r="AK43" s="53"/>
      <c r="AL43" s="53"/>
      <c r="AM43" s="53"/>
      <c r="AN43" s="53"/>
      <c r="AO43" s="53"/>
    </row>
    <row r="44" spans="1:41" s="53" customFormat="1" ht="51.75" customHeight="1">
      <c r="A44" s="80" t="str">
        <f>B39&amp;" Application (35degC)"</f>
        <v>Low Temperature Application (35degC)</v>
      </c>
      <c r="B44" s="436" t="s">
        <v>150</v>
      </c>
      <c r="C44" s="448" t="str">
        <f>IF(OR($B$12="Water to Water",$B$12="Water to Air"),"W10",
IF(OR($B$12="Brine to Water",$B$12="Brine to Air"),"B0",
IF($B$12=$S$4,"A20",
IF($B$12=$S$5,"E4",
"A-7"))))</f>
        <v>A-7</v>
      </c>
      <c r="D44" s="449" t="str">
        <f>IF(OR($B$12="Water to Water",$B$12="Water to Air"),"W10",
IF(OR($B$12="Brine to Water",$B$12="Brine to Air"),"B0",
IF($B$12=$S$4,"A20",
IF($B$12=$S$5,"E4",
"A2"))))</f>
        <v>A2</v>
      </c>
      <c r="E44" s="449" t="str">
        <f>IF(OR($B$12="Water to Water",$B$12="Water to Air"),"W10",
IF(OR($B$12="Brine to Water",$B$12="Brine to Air"),"B0",
IF($B$12=$S$4,"A20",
IF($B$12=$S$5,"E4",
"A7"))))</f>
        <v>A7</v>
      </c>
      <c r="F44" s="449" t="str">
        <f>IF(OR($B$12="Water to Water",$B$12="Water to Air"),"W10",
IF(OR($B$12="Brine to Water",$B$12="Brine to Air"),"B0",
IF($B$12=$S$4,"A20",
IF($B$12=$S$5,"E4",
"A12"))))</f>
        <v>A12</v>
      </c>
      <c r="G44" s="450" t="str">
        <f>IF(OR($B$12="Water to Water",$B$12="Water to Air"),"W10",
IF(OR($B$12="Brine to Water",$B$12="Brine to Air"),"B0",
IF($B$12=$S$4,"A20",
IF($B$12=$S$5,"E4",
"A"&amp;$B$15))))</f>
        <v xml:space="preserve">A </v>
      </c>
      <c r="H44" s="81"/>
      <c r="I44" s="83"/>
      <c r="J44" s="58"/>
      <c r="K44" s="57"/>
      <c r="L44" s="57"/>
      <c r="M44" s="57"/>
    </row>
    <row r="45" spans="1:41" s="53" customFormat="1" ht="32.25" customHeight="1">
      <c r="A45" s="186" t="str">
        <f>"Standard: "&amp;$B$14</f>
        <v>Standard: I.S. EN 14825</v>
      </c>
      <c r="B45" s="437" t="s">
        <v>151</v>
      </c>
      <c r="C45" s="451" t="str">
        <f>IF(OR($B$12="Water to Air",$B$12="Air to Air",$B$12="Brine to Air"),"A20",(IF($B$13="Fixed Outlet","W35","W34")))</f>
        <v>W35</v>
      </c>
      <c r="D45" s="452" t="str">
        <f>IF(OR($B$12="Water to Air",$B$12="Air to Air",$B$12="Brine to Air"),"A20",(IF($B$13="Fixed Outlet","W35","W30")))</f>
        <v>W35</v>
      </c>
      <c r="E45" s="452" t="str">
        <f>IF(OR($B$12="Water to Air",$B$12="Air to Air",$B$12="Brine to Air"),"A20",(IF($B$13="Fixed Outlet","W35","W27")))</f>
        <v>W35</v>
      </c>
      <c r="F45" s="452" t="str">
        <f>IF(OR($B$12="Water to Air",$B$12="Air to Air",$B$12="Brine to Air"),"A20",(IF($B$13="Fixed Outlet","W35","W24")))</f>
        <v>W35</v>
      </c>
      <c r="G45" s="453" t="str">
        <f>IF(OR($B$12="Water to Air",$B$12="Air to Air",$B$12="Brine to Air"),"A20",(IF($B$13="Fixed Outlet","W35","W35")))</f>
        <v>W35</v>
      </c>
      <c r="H45" s="81"/>
      <c r="I45" s="83"/>
      <c r="J45" s="58"/>
      <c r="K45" s="57"/>
      <c r="L45" s="57"/>
      <c r="M45" s="57"/>
    </row>
    <row r="46" spans="1:41" s="53" customFormat="1" ht="31.5" customHeight="1">
      <c r="A46" s="751" t="str">
        <f>IF($B$24="yes","No entries required here. 'To-air' heat pump",
" Source from Ecodesign data or 
"&amp;IF($B$14=$N$1, "I.S. EN14825 Table 8 for air source. 
Table 12 for brine, water or DX source. 
[These table # references are from 2016 version of this standard]",
IF($B$14=$N$2,"I.S. EN12309-6 Table 5 for air source. 
Table 17 for Brine or Water source.
[These table # references are from 2014 version of this standard]",
"")))</f>
        <v xml:space="preserve"> Source from Ecodesign data or 
I.S. EN14825 Table 8 for air source. 
Table 12 for brine, water or DX source. 
[These table # references are from 2016 version of this standard]</v>
      </c>
      <c r="B46" s="437" t="s">
        <v>152</v>
      </c>
      <c r="C46" s="414"/>
      <c r="D46" s="432"/>
      <c r="E46" s="432"/>
      <c r="F46" s="432"/>
      <c r="G46" s="457"/>
      <c r="H46" s="84"/>
      <c r="I46" s="57"/>
      <c r="J46" s="58"/>
      <c r="K46" s="57"/>
      <c r="L46" s="57"/>
      <c r="M46" s="57"/>
      <c r="N46" s="34"/>
      <c r="O46" s="34"/>
      <c r="P46" s="34"/>
      <c r="Q46" s="34"/>
      <c r="R46" s="34"/>
      <c r="S46" s="34"/>
      <c r="T46" s="34"/>
      <c r="U46" s="65"/>
      <c r="V46" s="65"/>
      <c r="W46" s="65"/>
      <c r="X46" s="34"/>
      <c r="Y46" s="34"/>
      <c r="Z46" s="34"/>
      <c r="AA46" s="34"/>
      <c r="AB46" s="34"/>
      <c r="AC46" s="34"/>
      <c r="AD46" s="34"/>
      <c r="AE46" s="34"/>
      <c r="AF46" s="34"/>
      <c r="AG46" s="34"/>
      <c r="AH46" s="34"/>
      <c r="AI46" s="34"/>
      <c r="AJ46" s="34"/>
      <c r="AK46" s="34"/>
      <c r="AL46" s="34"/>
      <c r="AM46" s="34"/>
      <c r="AN46" s="34"/>
      <c r="AO46" s="34"/>
    </row>
    <row r="47" spans="1:41" ht="43.15" customHeight="1" thickBot="1">
      <c r="A47" s="752"/>
      <c r="B47" s="438" t="s">
        <v>153</v>
      </c>
      <c r="C47" s="454"/>
      <c r="D47" s="455"/>
      <c r="E47" s="455"/>
      <c r="F47" s="455"/>
      <c r="G47" s="456"/>
      <c r="H47" s="86"/>
      <c r="I47" s="83"/>
      <c r="J47" s="58"/>
      <c r="K47" s="41"/>
      <c r="L47" s="41"/>
      <c r="M47" s="41"/>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row>
    <row r="48" spans="1:41" s="53" customFormat="1" ht="36" customHeight="1">
      <c r="A48" s="80" t="str">
        <f>B40&amp;" Application (45degC)"</f>
        <v>Medium Temperature Application (45degC)</v>
      </c>
      <c r="B48" s="440" t="s">
        <v>150</v>
      </c>
      <c r="C48" s="448" t="str">
        <f>IF(OR($B$12="Water to Water",$B$12="Water to Air"),"W10",
IF(OR($B$12="Brine to Water",$B$12="Brine to Air"),"B0",
IF($B$12=$S$4,"A20",
IF($B$12=$S$5,"E4",
"A-7"))))</f>
        <v>A-7</v>
      </c>
      <c r="D48" s="449" t="str">
        <f>IF(OR($B$12="Water to Water",$B$12="Water to Air"),"W10",
IF(OR($B$12="Brine to Water",$B$12="Brine to Air"),"B0",
IF($B$12=$S$4,"A20",
IF($B$12=$S$5,"E4",
"A2"))))</f>
        <v>A2</v>
      </c>
      <c r="E48" s="449" t="str">
        <f>IF(OR($B$12="Water to Water",$B$12="Water to Air"),"W10",
IF(OR($B$12="Brine to Water",$B$12="Brine to Air"),"B0",
IF($B$12=$S$4,"A20",
IF($B$12=$S$5,"E4",
"A7"))))</f>
        <v>A7</v>
      </c>
      <c r="F48" s="449" t="str">
        <f>IF(OR($B$12="Water to Water",$B$12="Water to Air"),"W10",
IF(OR($B$12="Brine to Water",$B$12="Brine to Air"),"B0",
IF($B$12=$S$4,"A20",
IF($B$12=$S$5,"E4",
"A12"))))</f>
        <v>A12</v>
      </c>
      <c r="G48" s="450" t="str">
        <f>IF(OR($B$12="Water to Water",$B$12="Water to Air"),"W10",
IF(OR($B$12="Brine to Water",$B$12="Brine to Air"),"B0",
IF($B$12=$S$4,"A20",
IF($B$12=$S$5,"E4",
"A"&amp;$B$15))))</f>
        <v xml:space="preserve">A </v>
      </c>
      <c r="H48" s="86"/>
      <c r="I48" s="88"/>
      <c r="J48" s="58"/>
      <c r="K48" s="57"/>
      <c r="L48" s="57"/>
      <c r="M48" s="57"/>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row>
    <row r="49" spans="1:157" ht="15.75" customHeight="1">
      <c r="A49" s="186" t="str">
        <f>"Standard: "&amp;$B$14</f>
        <v>Standard: I.S. EN 14825</v>
      </c>
      <c r="B49" s="441" t="s">
        <v>151</v>
      </c>
      <c r="C49" s="451" t="str">
        <f>IF(OR($B$12="Water to Air",$B$12="Air to Air",$B$12="Brine to Air"),"A20",(IF($B$13="Fixed Outlet","W45","W43")))</f>
        <v>W45</v>
      </c>
      <c r="D49" s="452" t="str">
        <f>IF(OR($B$12="Water to Air",$B$12="Air to Air",$B$12="Brine to Air"),"A20",(IF($B$13="Fixed Outlet","W45","W37")))</f>
        <v>W45</v>
      </c>
      <c r="E49" s="452" t="str">
        <f>IF(OR($B$12="Water to Air",$B$12="Air to Air",$B$12="Brine to Air"),"A20",(IF($B$13="Fixed Outlet","W45","W33")))</f>
        <v>W45</v>
      </c>
      <c r="F49" s="452" t="str">
        <f>IF(OR($B$12="Water to Air",$B$12="Air to Air",$B$12="Brine to Air"),"A20",(IF($B$13="Fixed Outlet","W45","W28")))</f>
        <v>W45</v>
      </c>
      <c r="G49" s="453" t="str">
        <f>IF(OR($B$12="Water to Air",$B$12="Air to Air",$B$12="Brine to Air"),"A20",(IF($B$13="Fixed Outlet","W45","W45")))</f>
        <v>W45</v>
      </c>
      <c r="H49" s="86"/>
      <c r="I49" s="88"/>
      <c r="J49" s="58"/>
      <c r="K49" s="57"/>
      <c r="L49" s="57"/>
      <c r="M49" s="57"/>
    </row>
    <row r="50" spans="1:157" ht="15.75" customHeight="1">
      <c r="A50" s="751" t="str">
        <f>IF($B$24="yes","No entries required here. 'To-air' heat pump",
" Source from Ecodesign data or 
"&amp;IF($B$14=$N$1, "I.S. EN14825 Table 9 for air source. 
Table 13 for brine, water or DX source. 
[These table # references are from 2016 version of this standard]",
IF($B$14=$N$2,"I.S. EN12309-6 Table 8 for air source. 
Table 20 for Brine or Water source.
[These table # references are from 2014 version of this standard]",
"")))</f>
        <v xml:space="preserve"> Source from Ecodesign data or 
I.S. EN14825 Table 9 for air source. 
Table 13 for brine, water or DX source. 
[These table # references are from 2016 version of this standard]</v>
      </c>
      <c r="B50" s="441" t="s">
        <v>152</v>
      </c>
      <c r="C50" s="414"/>
      <c r="D50" s="432"/>
      <c r="E50" s="432"/>
      <c r="F50" s="432"/>
      <c r="G50" s="457"/>
      <c r="H50" s="81"/>
      <c r="I50" s="83"/>
      <c r="J50" s="58"/>
      <c r="K50" s="57"/>
      <c r="L50" s="57"/>
      <c r="M50" s="57"/>
      <c r="N50" s="69"/>
    </row>
    <row r="51" spans="1:157" ht="60" customHeight="1" thickBot="1">
      <c r="A51" s="752"/>
      <c r="B51" s="443" t="s">
        <v>153</v>
      </c>
      <c r="C51" s="454"/>
      <c r="D51" s="455"/>
      <c r="E51" s="455"/>
      <c r="F51" s="455"/>
      <c r="G51" s="456"/>
      <c r="H51" s="90"/>
      <c r="I51" s="81"/>
      <c r="J51" s="58"/>
      <c r="K51" s="57"/>
      <c r="L51" s="57"/>
      <c r="M51" s="57"/>
      <c r="N51" s="70" t="s">
        <v>1</v>
      </c>
    </row>
    <row r="52" spans="1:157" ht="28.5" customHeight="1">
      <c r="A52" s="187" t="str">
        <f>IF(B24="Yes","To Air test points",B38&amp;" Application (55degC).")</f>
        <v>High Temperature Application (55degC).</v>
      </c>
      <c r="B52" s="440" t="s">
        <v>150</v>
      </c>
      <c r="C52" s="448" t="str">
        <f>IF(OR($B$12="Water to Water",$B$12="Water to Air"),"W10",
IF(OR($B$12="Brine to Water",$B$12="Brine to Air"),"B0",
IF(LEFT($B$12,7)="Exhaust","A20",
IF($B$12=$S$5,"E4",
"A-7"))))</f>
        <v>A-7</v>
      </c>
      <c r="D52" s="449" t="str">
        <f>IF(OR($B$12="Water to Water",$B$12="Water to Air"),"W10",
IF(OR($B$12="Brine to Water",$B$12="Brine to Air"),"B0",
IF(LEFT($B$12,7)="Exhaust","A20",
IF($B$12=$S$5,"E4",
"A2"))))</f>
        <v>A2</v>
      </c>
      <c r="E52" s="449" t="str">
        <f>IF(OR($B$12="Water to Water",$B$12="Water to Air"),"W10",
IF(OR($B$12="Brine to Water",$B$12="Brine to Air"),"B0",
IF(LEFT($B$12,7)="Exhaust","A20",
IF($B$12=$S$5,"E4",
"A7"))))</f>
        <v>A7</v>
      </c>
      <c r="F52" s="449" t="str">
        <f>IF(OR($B$12="Water to Water",$B$12="Water to Air"),"W10",
IF(OR($B$12="Brine to Water",$B$12="Brine to Air"),"B0",
IF(LEFT($B$12,7)="Exhaust","A20",
IF($B$12=$S$5,"E4",
"A12"))))</f>
        <v>A12</v>
      </c>
      <c r="G52" s="450" t="str">
        <f>IF(OR($B$12="Water to Water",$B$12="Water to Air"),"W10",
IF(OR($B$12="Brine to Water",$B$12="Brine to Air"),"B0",
IF(LEFT($B$12,7)="Exhaust","A20",
IF($B$12=$S$5,"E4",
"A"&amp;$B$15))))</f>
        <v xml:space="preserve">A </v>
      </c>
      <c r="H52" s="90"/>
      <c r="I52" s="88"/>
      <c r="J52" s="73"/>
      <c r="K52" s="72"/>
      <c r="L52" s="72"/>
      <c r="M52" s="72"/>
      <c r="N52" s="74"/>
    </row>
    <row r="53" spans="1:157" ht="78.599999999999994" customHeight="1">
      <c r="A53" s="186" t="str">
        <f>"Standard: "&amp;$B$14</f>
        <v>Standard: I.S. EN 14825</v>
      </c>
      <c r="B53" s="441" t="s">
        <v>151</v>
      </c>
      <c r="C53" s="451" t="str">
        <f>IF($B$24="Yes","A20",(IF($B$13="Fixed Outlet","W55","W52")))</f>
        <v>W55</v>
      </c>
      <c r="D53" s="452" t="str">
        <f>IF($B$24="Yes","A20",(IF($B$13="Fixed Outlet","W55","W42")))</f>
        <v>W55</v>
      </c>
      <c r="E53" s="452" t="str">
        <f>IF($B$24="Yes","A20",(IF($B$13="Fixed Outlet","W55","W36")))</f>
        <v>W55</v>
      </c>
      <c r="F53" s="452" t="str">
        <f>IF($B$24="Yes","A20",(IF($B$13="Fixed Outlet","W55","W30")))</f>
        <v>W55</v>
      </c>
      <c r="G53" s="453" t="str">
        <f>IF($B$24="Yes","A20",(IF($B$13="Fixed Outlet","W55","W55")))</f>
        <v>W55</v>
      </c>
      <c r="H53" s="90"/>
      <c r="I53" s="88"/>
      <c r="J53" s="75"/>
      <c r="K53" s="41"/>
      <c r="L53" s="41"/>
      <c r="M53" s="41"/>
      <c r="N53" s="74"/>
      <c r="O53" s="53"/>
      <c r="P53" s="53"/>
      <c r="Q53" s="53"/>
      <c r="R53" s="53"/>
      <c r="S53" s="53"/>
      <c r="T53" s="53"/>
      <c r="U53" s="53"/>
    </row>
    <row r="54" spans="1:157" ht="30.75" customHeight="1">
      <c r="A54" s="751" t="str">
        <f>IF($B$24="yes",IF($B$14=$N$3,"Source data from I.S. EN 14511 as required by I.S. EN 13141 for this heat pump type. See DEAP manual Appendix G", "'To-air' heat pump. Source from Ecodesign data or I.S. EN14825 Table 6 for air source, and Table 7 for brine/water source"),
" Source from Ecodesign data or 
"&amp;IF($B$14=$N$1, "I.S. EN14825 Table 10 for air source. 
Table 14 for brine, water or DX source. 
[These table # references are from 2016 version of this standard]",
IF($B$14=$N$2,"I.S. EN12309-6 Table 11 for air source. 
Table 23 for Brine or Water source.
[These table # references are from 2014 version of this standard]",
"")))</f>
        <v xml:space="preserve"> Source from Ecodesign data or 
I.S. EN14825 Table 10 for air source. 
Table 14 for brine, water or DX source. 
[These table # references are from 2016 version of this standard]</v>
      </c>
      <c r="B54" s="441" t="s">
        <v>152</v>
      </c>
      <c r="C54" s="414"/>
      <c r="D54" s="432"/>
      <c r="E54" s="432"/>
      <c r="F54" s="432"/>
      <c r="G54" s="457"/>
      <c r="H54" s="34"/>
      <c r="I54" s="83"/>
      <c r="J54" s="76"/>
      <c r="K54" s="41"/>
      <c r="L54" s="41"/>
      <c r="M54" s="41"/>
      <c r="N54" s="74"/>
      <c r="O54" s="53"/>
      <c r="P54" s="53"/>
      <c r="Q54" s="53"/>
      <c r="R54" s="53"/>
      <c r="S54" s="53"/>
      <c r="T54" s="53"/>
      <c r="U54" s="53"/>
    </row>
    <row r="55" spans="1:157" ht="42.6" customHeight="1" thickBot="1">
      <c r="A55" s="752"/>
      <c r="B55" s="444" t="s">
        <v>153</v>
      </c>
      <c r="C55" s="454"/>
      <c r="D55" s="455"/>
      <c r="E55" s="455"/>
      <c r="F55" s="455"/>
      <c r="G55" s="456"/>
      <c r="H55" s="81"/>
      <c r="I55" s="81"/>
      <c r="J55" s="76"/>
      <c r="K55" s="41"/>
      <c r="L55" s="41"/>
      <c r="M55" s="41"/>
      <c r="N55" s="74"/>
      <c r="O55" s="53"/>
      <c r="P55" s="53"/>
      <c r="Q55" s="53"/>
      <c r="R55" s="53"/>
      <c r="S55" s="53"/>
      <c r="T55" s="53"/>
      <c r="U55" s="53"/>
    </row>
    <row r="56" spans="1:157" ht="30.75" customHeight="1">
      <c r="A56" s="80" t="str">
        <f>B41&amp;" Application (65degC)"</f>
        <v>Very high Temperature Application (65degC)</v>
      </c>
      <c r="B56" s="445" t="s">
        <v>150</v>
      </c>
      <c r="C56" s="448" t="str">
        <f>IF(OR($B$12="Water to Water",$B$12="Water to Air"),"W10",
IF(OR($B$12="Brine to Water",$B$12="Brine to Air"),"B0",
IF($B$12=$S$4,"A20",
IF($B$12=$S$5,"E4",
"A-7"))))</f>
        <v>A-7</v>
      </c>
      <c r="D56" s="449" t="str">
        <f>IF(OR($B$12="Water to Water",$B$12="Water to Air"),"W10",
IF(OR($B$12="Brine to Water",$B$12="Brine to Air"),"B0",
IF($B$12=$S$4,"A20",
IF($B$12=$S$5,"E4",
"A2"))))</f>
        <v>A2</v>
      </c>
      <c r="E56" s="449" t="str">
        <f>IF(OR($B$12="Water to Water",$B$12="Water to Air"),"W10",
IF(OR($B$12="Brine to Water",$B$12="Brine to Air"),"B0",
IF($B$12=$S$4,"A20",
IF($B$12=$S$5,"E4",
"A7"))))</f>
        <v>A7</v>
      </c>
      <c r="F56" s="449" t="str">
        <f>IF(OR($B$12="Water to Water",$B$12="Water to Air"),"W10",
IF(OR($B$12="Brine to Water",$B$12="Brine to Air"),"B0",
IF($B$12=$S$4,"A20",
IF($B$12=$S$5,"E4",
"A12"))))</f>
        <v>A12</v>
      </c>
      <c r="G56" s="450" t="str">
        <f>IF(OR($B$12="Water to Water",$B$12="Water to Air"),"W10",
IF(OR($B$12="Brine to Water",$B$12="Brine to Air"),"B0",
IF($B$12=$S$4,"A20",
IF($B$12=$S$5,"E4",
"A"&amp;$B$15))))</f>
        <v xml:space="preserve">A </v>
      </c>
      <c r="H56" s="90"/>
      <c r="I56" s="88"/>
      <c r="J56" s="76"/>
      <c r="K56" s="41"/>
      <c r="L56" s="41"/>
      <c r="M56" s="41"/>
      <c r="N56" s="43"/>
      <c r="O56" s="43"/>
      <c r="P56" s="43"/>
      <c r="Q56" s="43"/>
      <c r="R56" s="43"/>
      <c r="S56" s="43"/>
      <c r="T56" s="43"/>
      <c r="U56" s="53"/>
    </row>
    <row r="57" spans="1:157" ht="49.5" customHeight="1">
      <c r="A57" s="186" t="str">
        <f>"Standard: "&amp;$B$14</f>
        <v>Standard: I.S. EN 14825</v>
      </c>
      <c r="B57" s="441" t="s">
        <v>151</v>
      </c>
      <c r="C57" s="451" t="str">
        <f>IF(OR($B$12="Water to Air",$B$12="Air to Air",$B$12="Brine to Air"),"A20",(IF($B$13="Fixed Outlet","W65","W61")))</f>
        <v>W65</v>
      </c>
      <c r="D57" s="452" t="str">
        <f>IF(OR($B$12="Water to Air",$B$12="Air to Air",$B$12="Brine to Air"),"A20",(IF($B$13="Fixed Outlet","W65","W49")))</f>
        <v>W65</v>
      </c>
      <c r="E57" s="452" t="str">
        <f>IF(OR($B$12="Water to Air",$B$12="Air to Air",$B$12="Brine to Air"),"A20",(IF($B$13="Fixed Outlet","W65","W41")))</f>
        <v>W65</v>
      </c>
      <c r="F57" s="452" t="str">
        <f>IF(OR($B$12="Water to Air",$B$12="Air to Air",$B$12="Brine to Air"),"A20",(IF($B$13="Fixed Outlet","W65","W32")))</f>
        <v>W65</v>
      </c>
      <c r="G57" s="453" t="str">
        <f>IF(OR($B$12="Water to Air",$B$12="Air to Air",$B$12="Brine to Air"),"A20",(IF($B$13="Fixed Outlet","W65","W65")))</f>
        <v>W65</v>
      </c>
      <c r="H57" s="90"/>
      <c r="I57" s="88"/>
      <c r="J57" s="76"/>
      <c r="K57" s="72"/>
      <c r="L57" s="72"/>
      <c r="M57" s="72"/>
      <c r="N57" s="43"/>
      <c r="O57" s="43"/>
      <c r="P57" s="43"/>
      <c r="Q57" s="43"/>
      <c r="R57" s="43"/>
      <c r="S57" s="43"/>
      <c r="T57" s="43"/>
      <c r="U57" s="53"/>
    </row>
    <row r="58" spans="1:157" ht="30.75" customHeight="1">
      <c r="A58" s="751" t="str">
        <f>IF($B$24="yes","No entries required here. 'To-air' heat pump",
" Source from Ecodesign data or 
"&amp;IF($B$14=$N$1, "I.S. EN14825 Table 11 for air source. 
Table 15 for brine, water or DX source. 
[These table # references are from 2016 version of this standard]",
IF($B$14=$N$2,"I.S. EN12309-6 Table 14 for air source. 
Table 26 for Brine or Water source.
[These table # references are from 2014 version of this standard]",
"")))</f>
        <v xml:space="preserve"> Source from Ecodesign data or 
I.S. EN14825 Table 11 for air source. 
Table 15 for brine, water or DX source. 
[These table # references are from 2016 version of this standard]</v>
      </c>
      <c r="B58" s="441" t="s">
        <v>152</v>
      </c>
      <c r="C58" s="414"/>
      <c r="D58" s="432"/>
      <c r="E58" s="432"/>
      <c r="F58" s="432"/>
      <c r="G58" s="457"/>
      <c r="H58" s="90"/>
      <c r="I58" s="83"/>
      <c r="J58" s="76"/>
      <c r="K58" s="79"/>
      <c r="L58" s="79"/>
      <c r="M58" s="79"/>
      <c r="N58" s="43"/>
      <c r="O58" s="43"/>
      <c r="P58" s="43"/>
      <c r="Q58" s="43"/>
      <c r="R58" s="43"/>
      <c r="S58" s="43"/>
      <c r="T58" s="43"/>
      <c r="U58" s="53"/>
    </row>
    <row r="59" spans="1:157" ht="43.9" customHeight="1" thickBot="1">
      <c r="A59" s="752"/>
      <c r="B59" s="444" t="s">
        <v>153</v>
      </c>
      <c r="C59" s="454"/>
      <c r="D59" s="455"/>
      <c r="E59" s="455"/>
      <c r="F59" s="455"/>
      <c r="G59" s="456"/>
      <c r="H59" s="86"/>
      <c r="I59" s="57"/>
      <c r="J59" s="82"/>
      <c r="K59" s="41"/>
      <c r="L59" s="41"/>
      <c r="M59" s="41"/>
      <c r="N59" s="43"/>
      <c r="O59" s="43"/>
      <c r="P59" s="43"/>
      <c r="Q59" s="43"/>
      <c r="R59" s="43"/>
      <c r="S59" s="43"/>
      <c r="T59" s="43"/>
      <c r="U59" s="53"/>
    </row>
    <row r="60" spans="1:157" ht="30.75" customHeight="1">
      <c r="A60" s="122"/>
      <c r="B60" s="123"/>
      <c r="C60" s="87"/>
      <c r="D60" s="87"/>
      <c r="E60" s="87"/>
      <c r="F60" s="87"/>
      <c r="G60" s="87"/>
      <c r="H60" s="86"/>
      <c r="I60" s="57"/>
      <c r="J60" s="82"/>
      <c r="K60" s="41"/>
      <c r="L60" s="41"/>
      <c r="M60" s="41"/>
      <c r="N60" s="43"/>
      <c r="O60" s="43"/>
      <c r="P60" s="43"/>
      <c r="Q60" s="43"/>
      <c r="R60" s="43"/>
      <c r="S60" s="43"/>
      <c r="T60" s="43"/>
      <c r="U60" s="53"/>
    </row>
    <row r="61" spans="1:157" ht="30.75" customHeight="1" thickBot="1">
      <c r="A61" s="122"/>
      <c r="B61" s="123"/>
      <c r="C61" s="87"/>
      <c r="D61" s="87"/>
      <c r="E61" s="87"/>
      <c r="F61" s="87"/>
      <c r="G61" s="87"/>
      <c r="H61" s="86"/>
      <c r="I61" s="57"/>
      <c r="J61" s="82"/>
      <c r="K61" s="41"/>
      <c r="L61" s="41"/>
      <c r="M61" s="41"/>
      <c r="N61" s="43"/>
      <c r="O61" s="43"/>
      <c r="P61" s="43"/>
      <c r="Q61" s="43"/>
      <c r="R61" s="43"/>
      <c r="S61" s="43"/>
      <c r="T61" s="43"/>
      <c r="U61" s="53"/>
    </row>
    <row r="62" spans="1:157" ht="29.25" customHeight="1" thickBot="1">
      <c r="A62" s="8" t="str">
        <f>IF(N11=FALSE,"No heat Pump for Water Heating - PROCEED TO SPACE HEATING","Heat Pump for Water Heating")</f>
        <v>Heat Pump for Water Heating</v>
      </c>
      <c r="B62" s="8"/>
      <c r="C62" s="736" t="str">
        <f>IF(N11,E231,".")</f>
        <v>Valid water heat pump type selected.</v>
      </c>
      <c r="D62" s="737"/>
      <c r="E62" s="737"/>
      <c r="F62" s="737"/>
      <c r="G62" s="737"/>
      <c r="H62" s="737"/>
      <c r="I62" s="738"/>
      <c r="J62" s="58"/>
      <c r="K62" s="57"/>
      <c r="L62" s="57"/>
      <c r="M62" s="57"/>
      <c r="N62" s="53"/>
      <c r="O62" s="53"/>
      <c r="P62" s="43"/>
      <c r="Q62" s="53"/>
      <c r="R62" s="53" t="s">
        <v>1</v>
      </c>
      <c r="S62" s="53"/>
      <c r="T62" s="53"/>
      <c r="U62" s="53"/>
      <c r="V62" s="53"/>
      <c r="W62" s="53"/>
      <c r="X62" s="53"/>
      <c r="Y62" s="53"/>
      <c r="Z62" s="53"/>
      <c r="AA62" s="53"/>
      <c r="AB62" s="53"/>
      <c r="AC62" s="53"/>
      <c r="AD62" s="53"/>
      <c r="AE62" s="53"/>
      <c r="AF62" s="53"/>
      <c r="AG62" s="53"/>
      <c r="AH62" s="53"/>
      <c r="AI62" s="53"/>
      <c r="AJ62" s="53"/>
      <c r="AK62" s="53"/>
      <c r="AL62" s="53"/>
      <c r="AM62" s="53"/>
      <c r="AN62" s="53"/>
      <c r="AO62" s="53"/>
    </row>
    <row r="63" spans="1:157" s="53" customFormat="1" ht="35.25" customHeight="1">
      <c r="A63" s="46" t="s">
        <v>102</v>
      </c>
      <c r="B63" s="416"/>
      <c r="C63" s="34"/>
      <c r="D63" s="773" t="s">
        <v>384</v>
      </c>
      <c r="E63" s="773"/>
      <c r="F63" s="773"/>
      <c r="G63" s="149" t="s">
        <v>44</v>
      </c>
      <c r="H63" s="45"/>
      <c r="I63" s="41"/>
      <c r="J63" s="44"/>
      <c r="K63" s="57"/>
      <c r="L63" s="57"/>
      <c r="M63" s="57"/>
      <c r="N63" s="34"/>
      <c r="P63" s="43"/>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row>
    <row r="64" spans="1:157" ht="52.15" customHeight="1">
      <c r="A64" s="36" t="s">
        <v>105</v>
      </c>
      <c r="B64" s="417"/>
      <c r="D64" s="773" t="s">
        <v>390</v>
      </c>
      <c r="E64" s="773"/>
      <c r="F64" s="773"/>
      <c r="G64" s="150" t="s">
        <v>385</v>
      </c>
      <c r="H64" s="45"/>
      <c r="I64" s="41"/>
      <c r="J64" s="44"/>
      <c r="K64" s="41"/>
      <c r="L64" s="41"/>
      <c r="M64" s="41"/>
      <c r="N64" s="43"/>
      <c r="O64" s="43"/>
      <c r="P64" s="43"/>
      <c r="Q64" s="43"/>
      <c r="R64" s="43"/>
      <c r="S64" s="43"/>
      <c r="T64" s="43"/>
      <c r="U64" s="43"/>
      <c r="V64" s="43"/>
      <c r="W64" s="43" t="s">
        <v>50</v>
      </c>
      <c r="X64" s="43">
        <v>1.2</v>
      </c>
      <c r="Y64" s="43"/>
      <c r="Z64" s="43"/>
      <c r="AA64" s="43"/>
      <c r="AB64" s="43"/>
      <c r="AC64" s="43"/>
      <c r="AD64" s="43"/>
      <c r="AE64" s="43"/>
      <c r="AF64" s="43"/>
      <c r="AG64" s="43"/>
      <c r="AH64" s="43"/>
      <c r="AI64" s="43"/>
      <c r="AJ64" s="43"/>
      <c r="AK64" s="43"/>
      <c r="AL64" s="39" t="s">
        <v>101</v>
      </c>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43"/>
      <c r="CY64" s="43"/>
      <c r="CZ64" s="43"/>
      <c r="DA64" s="43"/>
      <c r="DB64" s="43"/>
      <c r="DC64" s="43"/>
      <c r="DD64" s="43"/>
      <c r="DE64" s="43"/>
      <c r="DF64" s="43"/>
      <c r="DG64" s="43"/>
      <c r="DH64" s="43"/>
      <c r="DI64" s="43"/>
      <c r="DJ64" s="43"/>
      <c r="DK64" s="43"/>
      <c r="DL64" s="43"/>
      <c r="DM64" s="43"/>
      <c r="DN64" s="43"/>
      <c r="DO64" s="43"/>
      <c r="DP64" s="43"/>
      <c r="DQ64" s="43"/>
      <c r="DR64" s="43"/>
      <c r="DS64" s="43"/>
      <c r="DT64" s="43"/>
      <c r="DU64" s="43"/>
      <c r="DV64" s="43"/>
      <c r="DW64" s="43"/>
      <c r="DX64" s="43"/>
      <c r="DY64" s="43"/>
      <c r="DZ64" s="43"/>
      <c r="EA64" s="43"/>
      <c r="EB64" s="43"/>
      <c r="EC64" s="43"/>
      <c r="ED64" s="43"/>
      <c r="EE64" s="43"/>
      <c r="EF64" s="43"/>
      <c r="EG64" s="43"/>
      <c r="EH64" s="43"/>
      <c r="EI64" s="43"/>
      <c r="EJ64" s="43"/>
      <c r="EK64" s="43"/>
      <c r="EL64" s="43"/>
      <c r="EM64" s="43"/>
      <c r="EN64" s="43"/>
      <c r="EO64" s="43"/>
      <c r="EP64" s="43"/>
      <c r="EQ64" s="43"/>
      <c r="ER64" s="43"/>
      <c r="ES64" s="43"/>
      <c r="ET64" s="43"/>
      <c r="EU64" s="43"/>
      <c r="EV64" s="43"/>
      <c r="EW64" s="43"/>
      <c r="EX64" s="43"/>
      <c r="EY64" s="43"/>
      <c r="EZ64" s="43"/>
      <c r="FA64" s="43"/>
    </row>
    <row r="65" spans="1:157" ht="139.15" customHeight="1">
      <c r="A65" s="36" t="s">
        <v>107</v>
      </c>
      <c r="B65" s="417" t="s">
        <v>55</v>
      </c>
      <c r="C65" s="134" t="str">
        <f>IF(E190="Exhaust Air Heat Pump",
IF(LEFT(B65,7)&lt;&gt;"Exhaust","Warning: Type of heat pump selected here and in DEAPEntries tab do not match. 
Check entries",""),
IF(LEFT(B65,7)="Exhaust","Warning: Type of heat pump selected here and in DEAPEntries tab do not match. 
Check entries",""))</f>
        <v/>
      </c>
      <c r="D65" s="773" t="s">
        <v>426</v>
      </c>
      <c r="E65" s="773"/>
      <c r="F65" s="773"/>
      <c r="G65" s="121">
        <f>IF(G63=$Q$2,$X$2,$X$3)</f>
        <v>2.08</v>
      </c>
      <c r="H65" s="45"/>
      <c r="I65" s="41"/>
      <c r="J65" s="44"/>
      <c r="K65" s="41"/>
      <c r="L65" s="41"/>
      <c r="M65" s="41"/>
      <c r="N65" s="43"/>
      <c r="O65" s="43"/>
      <c r="P65" s="43"/>
      <c r="Q65" s="43"/>
      <c r="R65" s="43"/>
      <c r="S65" s="43"/>
      <c r="T65" s="43"/>
      <c r="U65" s="43"/>
      <c r="V65" s="43"/>
      <c r="W65" s="43" t="s">
        <v>103</v>
      </c>
      <c r="X65" s="43">
        <v>1.1000000000000001</v>
      </c>
      <c r="Y65" s="43"/>
      <c r="Z65" s="43"/>
      <c r="AA65" s="43"/>
      <c r="AB65" s="43"/>
      <c r="AC65" s="43"/>
      <c r="AD65" s="43"/>
      <c r="AE65" s="43"/>
      <c r="AF65" s="43"/>
      <c r="AG65" s="43"/>
      <c r="AH65" s="43"/>
      <c r="AI65" s="43"/>
      <c r="AJ65" s="43"/>
      <c r="AK65" s="43"/>
      <c r="AL65" s="39" t="s">
        <v>104</v>
      </c>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43"/>
      <c r="CY65" s="43"/>
      <c r="CZ65" s="43"/>
      <c r="DA65" s="43"/>
      <c r="DB65" s="43"/>
      <c r="DC65" s="43"/>
      <c r="DD65" s="43"/>
      <c r="DE65" s="43"/>
      <c r="DF65" s="43"/>
      <c r="DG65" s="43"/>
      <c r="DH65" s="43"/>
      <c r="DI65" s="43"/>
      <c r="DJ65" s="43"/>
      <c r="DK65" s="43"/>
      <c r="DL65" s="43"/>
      <c r="DM65" s="43"/>
      <c r="DN65" s="43"/>
      <c r="DO65" s="43"/>
      <c r="DP65" s="43"/>
      <c r="DQ65" s="43"/>
      <c r="DR65" s="43"/>
      <c r="DS65" s="43"/>
      <c r="DT65" s="43"/>
      <c r="DU65" s="43"/>
      <c r="DV65" s="43"/>
      <c r="DW65" s="43"/>
      <c r="DX65" s="43"/>
      <c r="DY65" s="43"/>
      <c r="DZ65" s="43"/>
      <c r="EA65" s="43"/>
      <c r="EB65" s="43"/>
      <c r="EC65" s="43"/>
      <c r="ED65" s="43"/>
      <c r="EE65" s="43"/>
      <c r="EF65" s="43"/>
      <c r="EG65" s="43"/>
      <c r="EH65" s="43"/>
      <c r="EI65" s="43"/>
      <c r="EJ65" s="43"/>
      <c r="EK65" s="43"/>
      <c r="EL65" s="43"/>
      <c r="EM65" s="43"/>
      <c r="EN65" s="43"/>
      <c r="EO65" s="43"/>
      <c r="EP65" s="43"/>
      <c r="EQ65" s="43"/>
      <c r="ER65" s="43"/>
      <c r="ES65" s="43"/>
      <c r="ET65" s="43"/>
      <c r="EU65" s="43"/>
      <c r="EV65" s="43"/>
      <c r="EW65" s="43"/>
      <c r="EX65" s="43"/>
      <c r="EY65" s="43"/>
      <c r="EZ65" s="43"/>
      <c r="FA65" s="43"/>
    </row>
    <row r="66" spans="1:157" ht="147.6" customHeight="1" thickBot="1">
      <c r="A66" s="36" t="s">
        <v>109</v>
      </c>
      <c r="B66" s="417" t="s">
        <v>57</v>
      </c>
      <c r="C66" s="262" t="str">
        <f>IF($N$12,IF(B65&amp;B66&amp;G63&amp;G64&lt;&gt;B12&amp;B13&amp;G11&amp;G12,"Warning: heat pump type; temperature control; fuel; ecodesign applicability should be the same for space and water heating",""),"")</f>
        <v/>
      </c>
      <c r="D66" s="750" t="s">
        <v>110</v>
      </c>
      <c r="E66" s="750"/>
      <c r="F66" s="750"/>
      <c r="G66" s="256" t="s">
        <v>477</v>
      </c>
      <c r="H66" s="45"/>
      <c r="I66" s="41"/>
      <c r="J66" s="44"/>
      <c r="K66" s="41"/>
      <c r="L66" s="41"/>
      <c r="M66" s="41"/>
      <c r="N66" s="43"/>
      <c r="O66" s="43"/>
      <c r="P66" s="43"/>
      <c r="Q66" s="43"/>
      <c r="R66" s="43"/>
      <c r="S66" s="43"/>
      <c r="T66" s="43"/>
      <c r="U66" s="43"/>
      <c r="V66" s="43"/>
      <c r="W66" s="43" t="s">
        <v>106</v>
      </c>
      <c r="X66" s="43">
        <v>1.1000000000000001</v>
      </c>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3"/>
      <c r="DD66" s="43"/>
      <c r="DE66" s="43"/>
      <c r="DF66" s="43"/>
      <c r="DG66" s="43"/>
      <c r="DH66" s="43"/>
      <c r="DI66" s="43"/>
      <c r="DJ66" s="43"/>
      <c r="DK66" s="43"/>
      <c r="DL66" s="43"/>
      <c r="DM66" s="43"/>
      <c r="DN66" s="43"/>
      <c r="DO66" s="43"/>
      <c r="DP66" s="43"/>
      <c r="DQ66" s="43"/>
      <c r="DR66" s="43"/>
      <c r="DS66" s="43"/>
      <c r="DT66" s="43"/>
      <c r="DU66" s="43"/>
      <c r="DV66" s="43"/>
      <c r="DW66" s="43"/>
      <c r="DX66" s="43"/>
      <c r="DY66" s="43"/>
      <c r="DZ66" s="43"/>
      <c r="EA66" s="43"/>
      <c r="EB66" s="43"/>
      <c r="EC66" s="43"/>
      <c r="ED66" s="43"/>
      <c r="EE66" s="43"/>
      <c r="EF66" s="43"/>
      <c r="EG66" s="43"/>
      <c r="EH66" s="43"/>
      <c r="EI66" s="43"/>
      <c r="EJ66" s="43"/>
      <c r="EK66" s="43"/>
      <c r="EL66" s="43"/>
      <c r="EM66" s="43"/>
      <c r="EN66" s="43"/>
      <c r="EO66" s="43"/>
      <c r="EP66" s="43"/>
      <c r="EQ66" s="43"/>
      <c r="ER66" s="43"/>
      <c r="ES66" s="43"/>
      <c r="ET66" s="43"/>
      <c r="EU66" s="43"/>
      <c r="EV66" s="43"/>
      <c r="EW66" s="43"/>
      <c r="EX66" s="43"/>
      <c r="EY66" s="43"/>
      <c r="EZ66" s="43"/>
      <c r="FA66" s="43"/>
    </row>
    <row r="67" spans="1:157" ht="44.25" customHeight="1">
      <c r="A67" s="36" t="s">
        <v>347</v>
      </c>
      <c r="B67" s="417" t="s">
        <v>348</v>
      </c>
      <c r="D67" s="733" t="s">
        <v>154</v>
      </c>
      <c r="E67" s="733"/>
      <c r="F67" s="733"/>
      <c r="G67" s="256" t="str">
        <f>A232&amp;E232</f>
        <v>Heat pump type:Air to Water</v>
      </c>
      <c r="H67" s="45"/>
      <c r="I67" s="460" t="s">
        <v>487</v>
      </c>
      <c r="J67" s="461" t="s">
        <v>492</v>
      </c>
      <c r="K67" s="41"/>
      <c r="L67" s="41"/>
      <c r="M67" s="41"/>
      <c r="N67" s="43"/>
      <c r="O67" s="43"/>
      <c r="P67" s="43"/>
      <c r="Q67" s="43"/>
      <c r="R67" s="43"/>
      <c r="S67" s="43"/>
      <c r="T67" s="43"/>
      <c r="U67" s="43"/>
      <c r="V67" s="43"/>
      <c r="W67" s="43" t="s">
        <v>108</v>
      </c>
      <c r="X67" s="43">
        <v>1.1000000000000001</v>
      </c>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3"/>
      <c r="DD67" s="43"/>
      <c r="DE67" s="43"/>
      <c r="DF67" s="43"/>
      <c r="DG67" s="43"/>
      <c r="DH67" s="43"/>
      <c r="DI67" s="43"/>
      <c r="DJ67" s="43"/>
      <c r="DK67" s="43"/>
      <c r="DL67" s="43"/>
      <c r="DM67" s="43"/>
      <c r="DN67" s="43"/>
      <c r="DO67" s="43"/>
      <c r="DP67" s="43"/>
      <c r="DQ67" s="43"/>
      <c r="DR67" s="43"/>
      <c r="DS67" s="43"/>
      <c r="DT67" s="43"/>
      <c r="DU67" s="43"/>
      <c r="DV67" s="43"/>
      <c r="DW67" s="43"/>
      <c r="DX67" s="43"/>
      <c r="DY67" s="43"/>
      <c r="DZ67" s="43"/>
      <c r="EA67" s="43"/>
      <c r="EB67" s="43"/>
      <c r="EC67" s="43"/>
      <c r="ED67" s="43"/>
      <c r="EE67" s="43"/>
      <c r="EF67" s="43"/>
      <c r="EG67" s="43"/>
      <c r="EH67" s="43"/>
      <c r="EI67" s="43"/>
      <c r="EJ67" s="43"/>
      <c r="EK67" s="43"/>
      <c r="EL67" s="43"/>
      <c r="EM67" s="43"/>
      <c r="EN67" s="43"/>
      <c r="EO67" s="43"/>
      <c r="EP67" s="43"/>
      <c r="EQ67" s="43"/>
      <c r="ER67" s="43"/>
      <c r="ES67" s="43"/>
      <c r="ET67" s="43"/>
      <c r="EU67" s="43"/>
      <c r="EV67" s="43"/>
      <c r="EW67" s="43"/>
      <c r="EX67" s="43"/>
      <c r="EY67" s="43"/>
      <c r="EZ67" s="43"/>
      <c r="FA67" s="43"/>
    </row>
    <row r="68" spans="1:157" ht="133.15" customHeight="1" thickBot="1">
      <c r="A68" s="36" t="s">
        <v>155</v>
      </c>
      <c r="B68" s="418" t="s">
        <v>81</v>
      </c>
      <c r="D68" s="746" t="str">
        <f>IF(OR(N11&lt;&gt;TRUE,ISNUMBER(SEARCH($B68,E235))),
"",
"ERROR: Check the option selected for water heating standard. Valid option(s) for this heat pump type as follows: "&amp;CHAR(10)&amp;E235)</f>
        <v/>
      </c>
      <c r="E68" s="746"/>
      <c r="F68" s="746"/>
      <c r="G68" s="256" t="str">
        <f>A233&amp;E233</f>
        <v>Electric or GAHP:Electricity</v>
      </c>
      <c r="H68" s="45"/>
      <c r="I68" s="462">
        <f>IF($B$68&lt;&gt;"I.S. EN 14825/14511",1,1-($B$72-J68)/($B$72-$B$71))</f>
        <v>1</v>
      </c>
      <c r="J68" s="463">
        <f>MIN($B$84,IF($B$67="Same Heat Pump providing Space Heating and Domestic Hot Water",$B$25,1000))</f>
        <v>0</v>
      </c>
      <c r="K68" s="41"/>
      <c r="L68" s="41"/>
      <c r="M68" s="41"/>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3"/>
      <c r="DD68" s="43"/>
      <c r="DE68" s="43"/>
      <c r="DF68" s="43"/>
      <c r="DG68" s="43"/>
      <c r="DH68" s="43"/>
      <c r="DI68" s="43"/>
      <c r="DJ68" s="43"/>
      <c r="DK68" s="43"/>
      <c r="DL68" s="43"/>
      <c r="DM68" s="43"/>
      <c r="DN68" s="43"/>
      <c r="DO68" s="43"/>
      <c r="DP68" s="43"/>
      <c r="DQ68" s="43"/>
      <c r="DR68" s="43"/>
      <c r="DS68" s="43"/>
      <c r="DT68" s="43"/>
      <c r="DU68" s="43"/>
      <c r="DV68" s="43"/>
      <c r="DW68" s="43"/>
      <c r="DX68" s="43"/>
      <c r="DY68" s="43"/>
      <c r="DZ68" s="43"/>
      <c r="EA68" s="43"/>
      <c r="EB68" s="43"/>
      <c r="EC68" s="43"/>
      <c r="ED68" s="43"/>
      <c r="EE68" s="43"/>
      <c r="EF68" s="43"/>
      <c r="EG68" s="43"/>
      <c r="EH68" s="43"/>
      <c r="EI68" s="43"/>
      <c r="EJ68" s="43"/>
      <c r="EK68" s="43"/>
      <c r="EL68" s="43"/>
      <c r="EM68" s="43"/>
      <c r="EN68" s="43"/>
      <c r="EO68" s="43"/>
      <c r="EP68" s="43"/>
      <c r="EQ68" s="43"/>
      <c r="ER68" s="43"/>
      <c r="ES68" s="43"/>
      <c r="ET68" s="43"/>
      <c r="EU68" s="43"/>
      <c r="EV68" s="43"/>
      <c r="EW68" s="43"/>
      <c r="EX68" s="43"/>
      <c r="EY68" s="43"/>
      <c r="EZ68" s="43"/>
      <c r="FA68" s="43"/>
    </row>
    <row r="69" spans="1:157" ht="87" customHeight="1">
      <c r="A69" s="59" t="s">
        <v>545</v>
      </c>
      <c r="B69" s="421">
        <f>IF(B5="Yes",(1-DEAPEntries!B8)*DEAPEntries!B9*E192/DEAPEntries!I10,
                        (1-DEAPEntries!B8)*DEAPEntries!B9*E192)</f>
        <v>0</v>
      </c>
      <c r="C69" s="458" t="s">
        <v>42</v>
      </c>
      <c r="D69" s="741" t="s">
        <v>156</v>
      </c>
      <c r="E69" s="741"/>
      <c r="F69" s="741"/>
      <c r="G69" s="256" t="str">
        <f>A234&amp;E234</f>
        <v>Ecodesign based stds:Ecodesign applies and/or ecodesign data available</v>
      </c>
      <c r="H69" s="45"/>
      <c r="I69" s="44"/>
      <c r="J69" s="44"/>
      <c r="K69" s="41"/>
      <c r="L69" s="41"/>
      <c r="M69" s="41"/>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c r="CS69" s="43"/>
      <c r="CT69" s="43"/>
      <c r="CU69" s="43"/>
      <c r="CV69" s="43"/>
      <c r="CW69" s="43"/>
      <c r="CX69" s="43"/>
      <c r="CY69" s="43"/>
      <c r="CZ69" s="43"/>
      <c r="DA69" s="43"/>
      <c r="DB69" s="43"/>
      <c r="DC69" s="43"/>
      <c r="DD69" s="43"/>
      <c r="DE69" s="43"/>
      <c r="DF69" s="43"/>
      <c r="DG69" s="43"/>
      <c r="DH69" s="43"/>
      <c r="DI69" s="43"/>
      <c r="DJ69" s="43"/>
      <c r="DK69" s="43"/>
      <c r="DL69" s="43"/>
      <c r="DM69" s="43"/>
      <c r="DN69" s="43"/>
      <c r="DO69" s="43"/>
      <c r="DP69" s="43"/>
      <c r="DQ69" s="43"/>
      <c r="DR69" s="43"/>
      <c r="DS69" s="43"/>
      <c r="DT69" s="43"/>
      <c r="DU69" s="43"/>
      <c r="DV69" s="43"/>
      <c r="DW69" s="43"/>
      <c r="DX69" s="43"/>
      <c r="DY69" s="43"/>
      <c r="DZ69" s="43"/>
      <c r="EA69" s="43"/>
      <c r="EB69" s="43"/>
      <c r="EC69" s="43"/>
      <c r="ED69" s="43"/>
      <c r="EE69" s="43"/>
      <c r="EF69" s="43"/>
      <c r="EG69" s="43"/>
      <c r="EH69" s="43"/>
      <c r="EI69" s="43"/>
      <c r="EJ69" s="43"/>
      <c r="EK69" s="43"/>
      <c r="EL69" s="43"/>
      <c r="EM69" s="43"/>
      <c r="EN69" s="43"/>
      <c r="EO69" s="43"/>
      <c r="EP69" s="43"/>
      <c r="EQ69" s="43"/>
      <c r="ER69" s="43"/>
      <c r="ES69" s="43"/>
      <c r="ET69" s="43"/>
      <c r="EU69" s="43"/>
      <c r="EV69" s="43"/>
      <c r="EW69" s="43"/>
      <c r="EX69" s="43"/>
      <c r="EY69" s="43"/>
      <c r="EZ69" s="43"/>
      <c r="FA69" s="43"/>
    </row>
    <row r="70" spans="1:157" ht="30.75" customHeight="1">
      <c r="A70" s="60" t="s">
        <v>157</v>
      </c>
      <c r="B70" s="417" t="s">
        <v>77</v>
      </c>
      <c r="C70" s="458"/>
      <c r="D70" s="741" t="s">
        <v>158</v>
      </c>
      <c r="E70" s="741"/>
      <c r="F70" s="741"/>
      <c r="G70" s="257"/>
      <c r="H70" s="45"/>
      <c r="I70" s="41"/>
      <c r="J70" s="58"/>
      <c r="K70" s="57"/>
      <c r="L70" s="57"/>
      <c r="M70" s="57"/>
      <c r="O70" s="53"/>
      <c r="P70" s="43"/>
    </row>
    <row r="71" spans="1:157" ht="31.5" customHeight="1">
      <c r="A71" s="62" t="s">
        <v>159</v>
      </c>
      <c r="B71" s="480">
        <v>10</v>
      </c>
      <c r="C71" s="459" t="s">
        <v>113</v>
      </c>
      <c r="D71" s="741" t="s">
        <v>160</v>
      </c>
      <c r="E71" s="741"/>
      <c r="F71" s="741"/>
      <c r="G71" s="62"/>
      <c r="H71" s="56"/>
      <c r="I71" s="61"/>
      <c r="J71" s="58"/>
      <c r="K71" s="57"/>
      <c r="L71" s="57"/>
      <c r="M71" s="57"/>
      <c r="O71" s="43"/>
      <c r="P71" s="43"/>
    </row>
    <row r="72" spans="1:157" ht="31.5" customHeight="1">
      <c r="A72" s="62" t="s">
        <v>161</v>
      </c>
      <c r="B72" s="430">
        <f>IF(OR(B70="No Hot Water Store",B70="Integral Hot Water Storage"),60,65)</f>
        <v>65</v>
      </c>
      <c r="C72" s="459" t="s">
        <v>113</v>
      </c>
      <c r="D72" s="741" t="s">
        <v>162</v>
      </c>
      <c r="E72" s="741"/>
      <c r="F72" s="741"/>
      <c r="G72" s="62"/>
      <c r="H72" s="56" t="s">
        <v>1</v>
      </c>
      <c r="I72" s="57"/>
      <c r="J72" s="58"/>
      <c r="K72" s="41"/>
      <c r="L72" s="41"/>
      <c r="M72" s="41"/>
      <c r="O72" s="43"/>
      <c r="P72" s="43"/>
      <c r="U72" s="65"/>
      <c r="V72" s="65"/>
      <c r="W72" s="65"/>
    </row>
    <row r="73" spans="1:157" ht="31.5" customHeight="1">
      <c r="A73" s="60" t="s">
        <v>163</v>
      </c>
      <c r="B73" s="481">
        <f>DEAPEntries!B12</f>
        <v>0</v>
      </c>
      <c r="C73" s="458" t="str">
        <f>DEAPEntries!E12</f>
        <v>litres</v>
      </c>
      <c r="D73" s="741" t="str">
        <f>DEAPEntries!F12</f>
        <v>Sourced from DEAP: Water Heating: options and storage (or WH tab in DEAP workbook)</v>
      </c>
      <c r="E73" s="741">
        <f>DEAPEntries!G12</f>
        <v>0</v>
      </c>
      <c r="F73" s="741">
        <f>DEAPEntries!H12</f>
        <v>0</v>
      </c>
      <c r="H73" s="56"/>
      <c r="I73" s="57"/>
      <c r="J73" s="58"/>
      <c r="K73" s="57"/>
      <c r="L73" s="57"/>
      <c r="M73" s="57"/>
      <c r="N73" s="53"/>
      <c r="O73" s="43"/>
      <c r="P73" s="4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row>
    <row r="74" spans="1:157" ht="30" customHeight="1">
      <c r="A74" s="64" t="s">
        <v>164</v>
      </c>
      <c r="B74" s="432" t="s">
        <v>38</v>
      </c>
      <c r="D74" s="733" t="s">
        <v>139</v>
      </c>
      <c r="E74" s="733"/>
      <c r="F74" s="733"/>
      <c r="H74" s="56"/>
      <c r="I74" s="57"/>
      <c r="J74" s="58"/>
      <c r="K74" s="41"/>
      <c r="L74" s="41"/>
      <c r="M74" s="41"/>
    </row>
    <row r="75" spans="1:157" ht="30" customHeight="1">
      <c r="A75" s="60" t="s">
        <v>165</v>
      </c>
      <c r="B75" s="429" t="s">
        <v>44</v>
      </c>
      <c r="D75" s="733" t="s">
        <v>139</v>
      </c>
      <c r="E75" s="733"/>
      <c r="F75" s="733"/>
      <c r="H75" s="56"/>
      <c r="I75" s="57"/>
      <c r="J75" s="58"/>
      <c r="K75" s="41"/>
      <c r="L75" s="41"/>
      <c r="M75" s="41"/>
    </row>
    <row r="76" spans="1:157" ht="30" customHeight="1">
      <c r="A76" s="60" t="s">
        <v>166</v>
      </c>
      <c r="B76" s="430">
        <f>VLOOKUP(B75,W2:X12,2,)</f>
        <v>2.08</v>
      </c>
      <c r="H76" s="56"/>
      <c r="I76" s="57"/>
      <c r="J76" s="58"/>
      <c r="K76" s="57"/>
      <c r="L76" s="57"/>
      <c r="M76" s="57"/>
      <c r="O76" s="53"/>
      <c r="P76" s="43"/>
      <c r="U76" s="53"/>
      <c r="V76" s="53"/>
      <c r="W76" s="53"/>
    </row>
    <row r="77" spans="1:157" ht="83.25" customHeight="1">
      <c r="A77" s="62" t="s">
        <v>167</v>
      </c>
      <c r="B77" s="434"/>
      <c r="C77" s="458" t="s">
        <v>92</v>
      </c>
      <c r="D77" s="733" t="s">
        <v>143</v>
      </c>
      <c r="E77" s="733"/>
      <c r="F77" s="733"/>
      <c r="H77" s="56"/>
      <c r="I77" s="57"/>
      <c r="J77" s="58"/>
      <c r="K77" s="57"/>
      <c r="L77" s="57"/>
      <c r="M77" s="57"/>
      <c r="N77" s="53"/>
      <c r="O77" s="53"/>
      <c r="P77" s="4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row>
    <row r="78" spans="1:157" s="53" customFormat="1" ht="29.25" customHeight="1">
      <c r="A78" s="64" t="s">
        <v>427</v>
      </c>
      <c r="B78" s="433">
        <f>IF(B74="Yes",(G65/B76)*B77,1)</f>
        <v>1</v>
      </c>
      <c r="D78" s="35"/>
      <c r="E78" s="35"/>
      <c r="F78" s="35"/>
      <c r="H78" s="56"/>
      <c r="I78" s="57"/>
      <c r="J78" s="58"/>
      <c r="K78" s="41"/>
      <c r="L78" s="41"/>
      <c r="M78" s="41"/>
      <c r="P78" s="43"/>
      <c r="U78" s="34"/>
      <c r="V78" s="34"/>
      <c r="W78" s="34"/>
    </row>
    <row r="79" spans="1:157" ht="31.5" customHeight="1">
      <c r="A79" s="67"/>
      <c r="B79" s="68"/>
      <c r="C79" s="67"/>
      <c r="D79" s="35"/>
      <c r="E79" s="35"/>
      <c r="F79" s="35"/>
      <c r="G79" s="53"/>
      <c r="H79" s="56"/>
      <c r="I79" s="57"/>
      <c r="J79" s="58"/>
      <c r="K79" s="57"/>
      <c r="L79" s="57"/>
      <c r="M79" s="57"/>
      <c r="O79" s="43"/>
      <c r="P79" s="43"/>
    </row>
    <row r="80" spans="1:157" ht="57.6" customHeight="1" thickBot="1">
      <c r="A80" s="192" t="s">
        <v>619</v>
      </c>
      <c r="D80" s="772"/>
      <c r="E80" s="772"/>
      <c r="F80" s="772"/>
      <c r="G80" s="772"/>
      <c r="H80" s="56"/>
      <c r="I80" s="57"/>
      <c r="J80" s="91"/>
      <c r="K80" s="88"/>
      <c r="L80" s="88"/>
      <c r="M80" s="88"/>
      <c r="N80" s="43"/>
      <c r="O80" s="43"/>
      <c r="P80" s="43"/>
      <c r="Q80" s="43"/>
      <c r="R80" s="43"/>
      <c r="S80" s="43"/>
      <c r="T80" s="43"/>
      <c r="U80" s="53"/>
    </row>
    <row r="81" spans="1:21" ht="30.75" customHeight="1">
      <c r="A81" s="482" t="s">
        <v>168</v>
      </c>
      <c r="B81" s="471" t="s">
        <v>463</v>
      </c>
      <c r="C81" s="472" t="s">
        <v>1</v>
      </c>
      <c r="D81" s="735" t="s">
        <v>428</v>
      </c>
      <c r="E81" s="735"/>
      <c r="F81" s="735"/>
      <c r="H81" s="56"/>
      <c r="I81" s="57"/>
      <c r="J81" s="87"/>
      <c r="K81" s="83"/>
      <c r="L81" s="83"/>
      <c r="M81" s="83"/>
      <c r="N81" s="43"/>
      <c r="O81" s="43"/>
      <c r="P81" s="43"/>
      <c r="Q81" s="43"/>
      <c r="R81" s="43"/>
      <c r="S81" s="43"/>
      <c r="T81" s="43"/>
      <c r="U81" s="43"/>
    </row>
    <row r="82" spans="1:21" ht="30.75" customHeight="1">
      <c r="A82" s="465" t="str">
        <f>B81</f>
        <v>Water heating energy efficiency, ηwh</v>
      </c>
      <c r="B82" s="473"/>
      <c r="C82" s="472" t="str">
        <f>IF(B81="Coefficient of Performance, COP","kW/kW","%")</f>
        <v>%</v>
      </c>
      <c r="D82" s="735" t="s">
        <v>428</v>
      </c>
      <c r="E82" s="735"/>
      <c r="F82" s="735"/>
      <c r="H82" s="56"/>
      <c r="I82" s="57"/>
      <c r="J82" s="89"/>
      <c r="K82" s="81"/>
      <c r="L82" s="81"/>
      <c r="M82" s="81"/>
      <c r="N82" s="43"/>
      <c r="O82" s="43"/>
      <c r="P82" s="43"/>
      <c r="Q82" s="43"/>
      <c r="R82" s="43"/>
      <c r="S82" s="43"/>
      <c r="T82" s="43"/>
      <c r="U82" s="43"/>
    </row>
    <row r="83" spans="1:21" ht="30.75" customHeight="1">
      <c r="A83" s="465" t="s">
        <v>169</v>
      </c>
      <c r="B83" s="474">
        <f>IF(B81="Coefficient of Performance, COP",B82,IF(G63=Q3,B82/100,B82*2.5/100))</f>
        <v>0</v>
      </c>
      <c r="C83" s="472" t="s">
        <v>170</v>
      </c>
      <c r="D83" s="475"/>
      <c r="E83" s="475"/>
      <c r="F83" s="475"/>
      <c r="H83" s="56"/>
      <c r="I83" s="57"/>
      <c r="J83" s="91"/>
      <c r="K83" s="88"/>
      <c r="L83" s="88"/>
      <c r="M83" s="88"/>
      <c r="N83" s="43"/>
      <c r="O83" s="43"/>
      <c r="P83" s="43"/>
      <c r="Q83" s="43"/>
      <c r="R83" s="43"/>
      <c r="S83" s="43"/>
      <c r="T83" s="43"/>
      <c r="U83" s="43"/>
    </row>
    <row r="84" spans="1:21" ht="98.45" customHeight="1">
      <c r="A84" s="465" t="s">
        <v>171</v>
      </c>
      <c r="B84" s="473" t="s">
        <v>1</v>
      </c>
      <c r="C84" s="476" t="s">
        <v>113</v>
      </c>
      <c r="D84" s="735" t="s">
        <v>429</v>
      </c>
      <c r="E84" s="735"/>
      <c r="F84" s="735"/>
      <c r="G84" s="134" t="str">
        <f>IF(AND(B84&gt;=52,B67="Same Heat Pump providing Space Heating and Domestic Hot Water",G10="Low temperature heat pump"),"WARNING:Where I.S. EN 14825/14511 is the water heating test standard, the low temperature heat pump may be used to provide DHW, however, hot water temperature must not exceed 52 degrees in this case. ",".")</f>
        <v>.</v>
      </c>
      <c r="H84" s="56"/>
      <c r="I84" s="57"/>
      <c r="J84" s="91"/>
      <c r="K84" s="88"/>
      <c r="L84" s="88"/>
      <c r="M84" s="88"/>
      <c r="N84" s="43"/>
      <c r="O84" s="43"/>
      <c r="P84" s="43"/>
      <c r="Q84" s="43"/>
      <c r="R84" s="43"/>
      <c r="S84" s="43"/>
      <c r="T84" s="43"/>
      <c r="U84" s="53"/>
    </row>
    <row r="85" spans="1:21" ht="64.900000000000006" customHeight="1">
      <c r="A85" s="465" t="s">
        <v>172</v>
      </c>
      <c r="B85" s="477">
        <f>IF(B65=S1,7,IF(B65=S3,10,IF(B65=S4,20,IF(B65=S5,4,0))))</f>
        <v>7</v>
      </c>
      <c r="C85" s="476" t="s">
        <v>113</v>
      </c>
      <c r="D85" s="735" t="s">
        <v>430</v>
      </c>
      <c r="E85" s="735"/>
      <c r="F85" s="735"/>
      <c r="G85" s="134"/>
      <c r="H85" s="56"/>
      <c r="I85" s="57"/>
      <c r="J85" s="91"/>
      <c r="K85" s="88"/>
      <c r="L85" s="88"/>
      <c r="M85" s="88"/>
      <c r="N85" s="43"/>
      <c r="O85" s="43"/>
      <c r="P85" s="43"/>
      <c r="Q85" s="43"/>
      <c r="R85" s="43"/>
      <c r="S85" s="43"/>
      <c r="T85" s="43"/>
      <c r="U85" s="53"/>
    </row>
    <row r="86" spans="1:21" ht="30.75" customHeight="1">
      <c r="A86" s="465" t="s">
        <v>173</v>
      </c>
      <c r="B86" s="473"/>
      <c r="C86" s="472" t="s">
        <v>174</v>
      </c>
      <c r="D86" s="735" t="s">
        <v>431</v>
      </c>
      <c r="E86" s="735"/>
      <c r="F86" s="735"/>
      <c r="H86" s="56"/>
      <c r="I86" s="57"/>
      <c r="J86" s="87"/>
      <c r="K86" s="83"/>
      <c r="L86" s="83"/>
      <c r="M86" s="83"/>
      <c r="N86" s="43"/>
      <c r="O86" s="43"/>
      <c r="P86" s="43"/>
      <c r="Q86" s="43"/>
      <c r="R86" s="43"/>
      <c r="S86" s="43"/>
      <c r="T86" s="53"/>
      <c r="U86" s="43"/>
    </row>
    <row r="87" spans="1:21" ht="44.45" customHeight="1">
      <c r="A87" s="468" t="s">
        <v>175</v>
      </c>
      <c r="B87" s="478" t="s">
        <v>91</v>
      </c>
      <c r="C87" s="472"/>
      <c r="D87" s="735" t="s">
        <v>431</v>
      </c>
      <c r="E87" s="735"/>
      <c r="F87" s="735"/>
      <c r="G87" s="134" t="str">
        <f>IF(AND(B87&lt;&gt;"",$B$68="I.S. EN 14825/14511"),"Note: 'load profile', 'standby heat loss' and 'volume of DHW accounted for in test' are irrelevant for test data based on I.S. EN 14825/14511.","")</f>
        <v/>
      </c>
      <c r="H87" s="56"/>
      <c r="I87" s="57"/>
      <c r="J87" s="89"/>
      <c r="K87" s="81"/>
      <c r="L87" s="81"/>
      <c r="M87" s="81"/>
      <c r="N87" s="43"/>
      <c r="O87" s="43"/>
      <c r="P87" s="43"/>
      <c r="Q87" s="43"/>
      <c r="R87" s="43"/>
      <c r="S87" s="43"/>
      <c r="T87" s="53"/>
      <c r="U87" s="53"/>
    </row>
    <row r="88" spans="1:21" ht="45.6" customHeight="1">
      <c r="A88" s="468" t="s">
        <v>176</v>
      </c>
      <c r="B88" s="478"/>
      <c r="C88" s="472" t="s">
        <v>177</v>
      </c>
      <c r="D88" s="735" t="s">
        <v>432</v>
      </c>
      <c r="E88" s="735"/>
      <c r="F88" s="735"/>
      <c r="G88" s="134" t="str">
        <f>IF(AND(B88&lt;&gt;"",$B$68="I.S. EN 14825/14511"),"Note: 'load profile', 'standby heat loss' and 'volume of DHW accounted for in test' are irrelevant for test data based on I.S. EN 14825/14511.","")</f>
        <v/>
      </c>
      <c r="H88" s="56"/>
      <c r="I88" s="57"/>
      <c r="J88" s="91"/>
      <c r="K88" s="57"/>
      <c r="L88" s="57"/>
      <c r="M88" s="57"/>
      <c r="N88" s="43"/>
      <c r="O88" s="43"/>
      <c r="P88" s="43"/>
      <c r="Q88" s="43"/>
      <c r="R88" s="43"/>
      <c r="S88" s="43"/>
      <c r="T88" s="53"/>
      <c r="U88" s="53"/>
    </row>
    <row r="89" spans="1:21" ht="54.6" customHeight="1" thickBot="1">
      <c r="A89" s="469" t="s">
        <v>178</v>
      </c>
      <c r="B89" s="479"/>
      <c r="C89" s="472" t="s">
        <v>179</v>
      </c>
      <c r="D89" s="735" t="s">
        <v>428</v>
      </c>
      <c r="E89" s="735"/>
      <c r="F89" s="735"/>
      <c r="G89" s="134" t="str">
        <f>IF(AND(B89&lt;&gt;"",$B$68="I.S. EN 14825/14511"),"Note: 'load profile', 'standby heat loss' and 'volume of DHW accounted for in test' are irrelevant for test data based on I.S. EN 14825/14511.","")</f>
        <v/>
      </c>
      <c r="H89" s="56"/>
      <c r="I89" s="57"/>
      <c r="J89" s="91"/>
      <c r="K89" s="57"/>
      <c r="L89" s="57"/>
      <c r="M89" s="57"/>
      <c r="N89" s="43"/>
      <c r="O89" s="43"/>
      <c r="P89" s="43"/>
      <c r="Q89" s="43"/>
      <c r="R89" s="43"/>
      <c r="S89" s="43"/>
      <c r="T89" s="53"/>
      <c r="U89" s="53"/>
    </row>
    <row r="90" spans="1:21" ht="48" customHeight="1">
      <c r="A90" s="564" t="s">
        <v>620</v>
      </c>
      <c r="D90" s="772" t="e">
        <f>IF(B5="Yes","NOTE: Assessor must verify that the installed storage volume is greater than used in test results",IF(E219&gt;0,E221,IF(E220&gt;0,E222,"")))</f>
        <v>#VALUE!</v>
      </c>
      <c r="E90" s="772"/>
      <c r="F90" s="772"/>
      <c r="G90" s="772"/>
      <c r="H90" s="56"/>
      <c r="I90" s="57"/>
      <c r="J90" s="91"/>
      <c r="K90" s="41"/>
      <c r="L90" s="41"/>
      <c r="M90" s="41"/>
      <c r="N90" s="43"/>
      <c r="O90" s="43"/>
      <c r="P90" s="43"/>
      <c r="Q90" s="43"/>
      <c r="R90" s="43"/>
      <c r="S90" s="43"/>
      <c r="T90" s="53"/>
      <c r="U90" s="53"/>
    </row>
    <row r="91" spans="1:21" ht="30.75" customHeight="1" thickBot="1">
      <c r="A91" s="74" t="s">
        <v>180</v>
      </c>
      <c r="H91" s="56"/>
      <c r="I91" s="57"/>
      <c r="J91" s="85"/>
      <c r="K91" s="83"/>
      <c r="L91" s="83"/>
      <c r="M91" s="83"/>
      <c r="N91" s="43"/>
      <c r="O91" s="43"/>
      <c r="P91" s="43"/>
      <c r="Q91" s="43"/>
      <c r="R91" s="43"/>
      <c r="S91" s="43"/>
      <c r="T91" s="43"/>
      <c r="U91" s="53"/>
    </row>
    <row r="92" spans="1:21" ht="30.75" customHeight="1">
      <c r="A92" s="446" t="s">
        <v>181</v>
      </c>
      <c r="B92" s="483" t="s">
        <v>37</v>
      </c>
      <c r="C92" s="458"/>
      <c r="H92" s="56"/>
      <c r="I92" s="57"/>
      <c r="J92" s="87"/>
      <c r="K92" s="83"/>
      <c r="L92" s="83"/>
      <c r="M92" s="83"/>
      <c r="N92" s="43"/>
      <c r="O92" s="43"/>
      <c r="P92" s="43"/>
      <c r="Q92" s="43"/>
      <c r="R92" s="43"/>
      <c r="S92" s="43"/>
      <c r="T92" s="43"/>
      <c r="U92" s="53"/>
    </row>
    <row r="93" spans="1:21" ht="30.75" customHeight="1">
      <c r="A93" s="447" t="s">
        <v>182</v>
      </c>
      <c r="B93" s="466">
        <v>3.33</v>
      </c>
      <c r="C93" s="458" t="s">
        <v>170</v>
      </c>
      <c r="D93" s="733" t="s">
        <v>183</v>
      </c>
      <c r="E93" s="733"/>
      <c r="F93" s="733"/>
      <c r="H93" s="56"/>
      <c r="I93" s="57"/>
      <c r="J93" s="87"/>
      <c r="K93" s="83"/>
      <c r="L93" s="83"/>
      <c r="M93" s="83"/>
      <c r="N93" s="43"/>
      <c r="O93" s="43"/>
      <c r="P93" s="43"/>
      <c r="Q93" s="43"/>
      <c r="R93" s="43"/>
      <c r="S93" s="43"/>
      <c r="T93" s="43"/>
      <c r="U93" s="53"/>
    </row>
    <row r="94" spans="1:21" ht="30.75" customHeight="1">
      <c r="A94" s="465" t="s">
        <v>184</v>
      </c>
      <c r="B94" s="442" t="s">
        <v>37</v>
      </c>
      <c r="C94" s="458"/>
      <c r="D94" s="733" t="s">
        <v>185</v>
      </c>
      <c r="E94" s="733"/>
      <c r="F94" s="733"/>
      <c r="H94" s="56"/>
      <c r="I94" s="57"/>
      <c r="J94" s="87"/>
      <c r="K94" s="83"/>
      <c r="L94" s="83"/>
      <c r="M94" s="83"/>
      <c r="N94" s="43"/>
      <c r="O94" s="43"/>
      <c r="P94" s="43"/>
      <c r="Q94" s="43"/>
      <c r="R94" s="43"/>
      <c r="S94" s="43"/>
      <c r="T94" s="43"/>
      <c r="U94" s="43"/>
    </row>
    <row r="95" spans="1:21" ht="30.75" customHeight="1">
      <c r="A95" s="465" t="s">
        <v>186</v>
      </c>
      <c r="B95" s="442" t="s">
        <v>38</v>
      </c>
      <c r="C95" s="484" t="s">
        <v>1</v>
      </c>
      <c r="D95" s="733" t="s">
        <v>185</v>
      </c>
      <c r="E95" s="733"/>
      <c r="F95" s="733"/>
      <c r="H95" s="56"/>
      <c r="I95" s="57"/>
      <c r="J95" s="89"/>
      <c r="K95" s="81"/>
      <c r="L95" s="81"/>
      <c r="M95" s="81"/>
      <c r="N95" s="43"/>
      <c r="O95" s="43"/>
      <c r="P95" s="43"/>
      <c r="Q95" s="43"/>
      <c r="R95" s="43"/>
      <c r="S95" s="43"/>
      <c r="T95" s="43"/>
      <c r="U95" s="43"/>
    </row>
    <row r="96" spans="1:21" ht="30.75" customHeight="1" thickBot="1">
      <c r="A96" s="469" t="str">
        <f>IF(B72=65,"Does heat pump reach a flow temperature of &gt;=65oC","Does heat pump reach a flow temperature of &gt;=60oC")</f>
        <v>Does heat pump reach a flow temperature of &gt;=65oC</v>
      </c>
      <c r="B96" s="439" t="s">
        <v>37</v>
      </c>
      <c r="C96" s="484" t="s">
        <v>1</v>
      </c>
      <c r="D96" s="733" t="s">
        <v>187</v>
      </c>
      <c r="E96" s="733"/>
      <c r="F96" s="733"/>
      <c r="H96" s="56"/>
      <c r="I96" s="57"/>
      <c r="J96" s="91"/>
      <c r="K96" s="88"/>
      <c r="L96" s="88"/>
      <c r="M96" s="88"/>
      <c r="N96" s="43"/>
      <c r="O96" s="43"/>
      <c r="P96" s="43"/>
      <c r="Q96" s="43"/>
      <c r="R96" s="43"/>
      <c r="S96" s="43"/>
      <c r="T96" s="43"/>
      <c r="U96" s="53"/>
    </row>
    <row r="97" spans="1:21" ht="30.75" customHeight="1">
      <c r="H97" s="56"/>
      <c r="I97" s="57"/>
      <c r="J97" s="91"/>
      <c r="K97" s="88"/>
      <c r="L97" s="88"/>
      <c r="M97" s="88"/>
      <c r="N97" s="43"/>
      <c r="O97" s="43"/>
      <c r="P97" s="43"/>
      <c r="Q97" s="43"/>
      <c r="R97" s="43"/>
      <c r="S97" s="43"/>
      <c r="T97" s="43"/>
      <c r="U97" s="53"/>
    </row>
    <row r="98" spans="1:21" ht="33" customHeight="1">
      <c r="H98" s="56"/>
      <c r="I98" s="57"/>
      <c r="J98" s="58"/>
      <c r="K98" s="41"/>
      <c r="L98" s="41"/>
      <c r="M98" s="41"/>
      <c r="N98" s="43"/>
      <c r="O98" s="43"/>
      <c r="P98" s="43"/>
      <c r="Q98" s="43"/>
      <c r="R98" s="43"/>
      <c r="S98" s="43"/>
      <c r="T98" s="53"/>
      <c r="U98" s="53"/>
    </row>
    <row r="99" spans="1:21" ht="33" customHeight="1" thickBot="1">
      <c r="A99" s="74" t="s">
        <v>188</v>
      </c>
      <c r="H99" s="56"/>
      <c r="I99" s="57"/>
      <c r="J99" s="58"/>
      <c r="K99" s="41"/>
      <c r="L99" s="41"/>
      <c r="M99" s="41"/>
    </row>
    <row r="100" spans="1:21" ht="33" customHeight="1">
      <c r="A100" s="464" t="s">
        <v>189</v>
      </c>
      <c r="B100" s="485">
        <v>3.2</v>
      </c>
      <c r="C100" s="458" t="s">
        <v>170</v>
      </c>
      <c r="D100" s="733" t="s">
        <v>190</v>
      </c>
      <c r="E100" s="733"/>
      <c r="F100" s="733"/>
      <c r="H100" s="56"/>
      <c r="I100" s="57"/>
      <c r="J100" s="75"/>
      <c r="K100" s="57"/>
      <c r="L100" s="57"/>
      <c r="M100" s="41"/>
      <c r="N100" s="34" t="s">
        <v>1</v>
      </c>
    </row>
    <row r="101" spans="1:21" ht="37.5" customHeight="1">
      <c r="A101" s="465" t="s">
        <v>171</v>
      </c>
      <c r="B101" s="466">
        <v>54</v>
      </c>
      <c r="C101" s="459" t="s">
        <v>113</v>
      </c>
      <c r="D101" s="733" t="s">
        <v>191</v>
      </c>
      <c r="E101" s="733"/>
      <c r="F101" s="733"/>
      <c r="H101" s="56"/>
      <c r="I101" s="57"/>
      <c r="J101" s="58"/>
      <c r="K101" s="57"/>
      <c r="L101" s="57"/>
      <c r="M101" s="57"/>
      <c r="N101" s="34" t="s">
        <v>1</v>
      </c>
    </row>
    <row r="102" spans="1:21" ht="31.5" customHeight="1" thickBot="1">
      <c r="A102" s="469" t="s">
        <v>192</v>
      </c>
      <c r="B102" s="470">
        <v>7</v>
      </c>
      <c r="C102" s="458" t="s">
        <v>174</v>
      </c>
      <c r="D102" s="733" t="s">
        <v>190</v>
      </c>
      <c r="E102" s="733"/>
      <c r="F102" s="733"/>
      <c r="H102" s="56"/>
      <c r="I102" s="57"/>
      <c r="J102" s="58"/>
      <c r="K102" s="57"/>
      <c r="L102" s="57"/>
      <c r="M102" s="57"/>
    </row>
    <row r="103" spans="1:21" ht="31.5" customHeight="1" thickBot="1">
      <c r="H103" s="56"/>
      <c r="I103" s="57"/>
      <c r="J103" s="58"/>
      <c r="K103" s="57"/>
      <c r="L103" s="57"/>
      <c r="M103" s="57"/>
    </row>
    <row r="104" spans="1:21" ht="31.5" customHeight="1" thickBot="1">
      <c r="A104" s="55" t="s">
        <v>478</v>
      </c>
      <c r="B104" s="71"/>
      <c r="C104" s="71"/>
      <c r="D104" s="42"/>
      <c r="E104" s="42"/>
      <c r="F104" s="42"/>
      <c r="G104" s="42"/>
      <c r="H104" s="42"/>
      <c r="I104" s="42"/>
      <c r="J104" s="58"/>
      <c r="K104" s="57"/>
      <c r="L104" s="57"/>
      <c r="M104" s="57"/>
    </row>
    <row r="105" spans="1:21" ht="31.5" customHeight="1" thickBot="1">
      <c r="A105" s="92" t="s">
        <v>49</v>
      </c>
      <c r="H105" s="56"/>
      <c r="I105" s="57"/>
      <c r="J105" s="58"/>
      <c r="K105" s="57"/>
      <c r="L105" s="57"/>
      <c r="M105" s="57"/>
    </row>
    <row r="106" spans="1:21" ht="31.5" customHeight="1">
      <c r="A106" s="486" t="s">
        <v>193</v>
      </c>
      <c r="B106" s="487" t="e">
        <f>IF(OR(B14=N1,B14=N2, B14=N3),E201,B93)</f>
        <v>#VALUE!</v>
      </c>
      <c r="C106" s="458" t="s">
        <v>92</v>
      </c>
      <c r="D106" s="734"/>
      <c r="E106" s="734"/>
      <c r="F106" s="734"/>
      <c r="G106" s="458" t="s">
        <v>1</v>
      </c>
      <c r="H106" s="488"/>
      <c r="I106" s="489"/>
      <c r="J106" s="58"/>
      <c r="K106" s="57"/>
      <c r="L106" s="57"/>
      <c r="M106" s="57"/>
    </row>
    <row r="107" spans="1:21" ht="31.5" customHeight="1">
      <c r="A107" s="490" t="s">
        <v>194</v>
      </c>
      <c r="B107" s="491">
        <f>IF(OR(B14=N1,B14=N2, B14=N3),1,IF(B25=35,1,IF(B25&lt;50,0.85,IF(B94="Yes",0.75,0.7))))</f>
        <v>1</v>
      </c>
      <c r="C107" s="458"/>
      <c r="D107" s="734"/>
      <c r="E107" s="734"/>
      <c r="F107" s="734"/>
      <c r="G107" s="458"/>
      <c r="H107" s="488"/>
      <c r="I107" s="489"/>
      <c r="J107" s="58"/>
      <c r="K107" s="57"/>
      <c r="L107" s="57"/>
      <c r="M107" s="57"/>
    </row>
    <row r="108" spans="1:21" ht="31.5" customHeight="1">
      <c r="A108" s="490" t="s">
        <v>195</v>
      </c>
      <c r="B108" s="492" t="e">
        <f>IF(OR(B68=N5,B68=N7, B68=N8),E213,IF(B68="I.S. EN 255-3",E217,E218))</f>
        <v>#VALUE!</v>
      </c>
      <c r="C108" s="458" t="s">
        <v>92</v>
      </c>
      <c r="D108" s="734"/>
      <c r="E108" s="734"/>
      <c r="F108" s="734"/>
      <c r="G108" s="458"/>
      <c r="H108" s="488"/>
      <c r="I108" s="489"/>
      <c r="J108" s="75"/>
      <c r="K108" s="57"/>
      <c r="L108" s="57"/>
      <c r="M108" s="57"/>
    </row>
    <row r="109" spans="1:21" ht="31.5" customHeight="1" thickBot="1">
      <c r="A109" s="493" t="s">
        <v>196</v>
      </c>
      <c r="B109" s="494">
        <f>IF(B68="I.S. EN 14511",IF(AND(B95="No",B96="Yes"),0.7,1),1)</f>
        <v>1</v>
      </c>
      <c r="C109" s="458"/>
      <c r="D109" s="734"/>
      <c r="E109" s="734"/>
      <c r="F109" s="734"/>
      <c r="G109" s="458"/>
      <c r="H109" s="488"/>
      <c r="I109" s="489"/>
      <c r="J109" s="75"/>
      <c r="K109" s="57"/>
      <c r="L109" s="57"/>
      <c r="M109" s="57"/>
    </row>
    <row r="110" spans="1:21" ht="16.5" thickBot="1">
      <c r="A110" s="458"/>
      <c r="B110" s="458"/>
      <c r="C110" s="458"/>
      <c r="D110" s="467"/>
      <c r="E110" s="467"/>
      <c r="F110" s="467"/>
      <c r="G110" s="489"/>
      <c r="H110" s="488"/>
      <c r="I110" s="489"/>
      <c r="J110" s="75"/>
      <c r="K110" s="57"/>
      <c r="L110" s="57"/>
      <c r="M110" s="57"/>
    </row>
    <row r="111" spans="1:21" ht="31.5" customHeight="1" thickBot="1">
      <c r="A111" s="495" t="s">
        <v>331</v>
      </c>
      <c r="B111" s="496">
        <f>MAX(E207,0)</f>
        <v>1</v>
      </c>
      <c r="C111" s="467" t="s">
        <v>462</v>
      </c>
      <c r="D111" s="467"/>
      <c r="E111" s="467"/>
      <c r="F111" s="467"/>
      <c r="G111" s="497" t="s">
        <v>495</v>
      </c>
      <c r="H111" s="488"/>
      <c r="I111" s="489"/>
      <c r="J111" s="75"/>
      <c r="K111" s="57"/>
      <c r="L111" s="57"/>
      <c r="M111" s="57"/>
    </row>
    <row r="112" spans="1:21" ht="36.75" customHeight="1" thickBot="1">
      <c r="A112" s="495" t="s">
        <v>332</v>
      </c>
      <c r="B112" s="496">
        <f>MAX(E216,0)</f>
        <v>1</v>
      </c>
      <c r="C112" s="467" t="s">
        <v>462</v>
      </c>
      <c r="D112" s="467"/>
      <c r="E112" s="467"/>
      <c r="F112" s="467"/>
      <c r="G112" s="498">
        <f>IF(OR(LEFT(B12,7)="Exhaust",LEFT(B65,7)="Exhaust"),E195,0)</f>
        <v>0</v>
      </c>
      <c r="H112" s="488"/>
      <c r="I112" s="489"/>
      <c r="J112" s="58"/>
      <c r="K112" s="57"/>
      <c r="L112" s="57"/>
      <c r="M112" s="57"/>
    </row>
    <row r="113" spans="1:14">
      <c r="A113" s="458"/>
      <c r="B113" s="458"/>
      <c r="C113" s="458"/>
      <c r="D113" s="467"/>
      <c r="E113" s="467"/>
      <c r="F113" s="467"/>
      <c r="G113" s="497" t="s">
        <v>497</v>
      </c>
      <c r="H113" s="488"/>
      <c r="I113" s="489"/>
      <c r="J113" s="58"/>
      <c r="K113" s="57"/>
      <c r="L113" s="57"/>
      <c r="M113" s="57"/>
    </row>
    <row r="114" spans="1:14" ht="16.5" thickBot="1">
      <c r="A114" s="458"/>
      <c r="B114" s="499"/>
      <c r="C114" s="458"/>
      <c r="D114" s="467"/>
      <c r="E114" s="467"/>
      <c r="F114" s="467"/>
      <c r="G114" s="500" t="b">
        <f>IF(E193="No",FALSE,TRUE)</f>
        <v>0</v>
      </c>
      <c r="H114" s="488"/>
      <c r="I114" s="489"/>
      <c r="J114" s="58"/>
      <c r="K114" s="57"/>
      <c r="L114" s="57"/>
      <c r="M114" s="57"/>
    </row>
    <row r="115" spans="1:14" ht="53.45" customHeight="1">
      <c r="A115" s="486" t="s">
        <v>530</v>
      </c>
      <c r="B115" s="501" t="e">
        <f>IF(B14="I.S. EN 14511",1,E203/E199)</f>
        <v>#VALUE!</v>
      </c>
      <c r="C115" s="502" t="s">
        <v>461</v>
      </c>
      <c r="D115" s="503" t="e">
        <f>IF(B14=N4,IF(B5="No",B17,B17*B8/B7),E203)</f>
        <v>#VALUE!</v>
      </c>
      <c r="E115" s="467" t="s">
        <v>572</v>
      </c>
      <c r="F115" s="504" t="e">
        <f>IF(B14="I.S. EN 14511",(B106*B107)*100,E204*100)</f>
        <v>#VALUE!</v>
      </c>
      <c r="G115" s="458"/>
      <c r="H115" s="488"/>
      <c r="I115" s="489"/>
      <c r="J115" s="58"/>
      <c r="K115" s="57"/>
      <c r="L115" s="57"/>
      <c r="M115" s="57"/>
    </row>
    <row r="116" spans="1:14" ht="45" customHeight="1" thickBot="1">
      <c r="A116" s="493" t="s">
        <v>334</v>
      </c>
      <c r="B116" s="505" t="e">
        <f>IF(OR(B68=N5,B68=N7, B68=N8),1-E210,1)</f>
        <v>#VALUE!</v>
      </c>
      <c r="C116" s="502" t="s">
        <v>335</v>
      </c>
      <c r="D116" s="506" t="e">
        <f>IF(OR(B68=N5,B68=N7,B68=N8),E215,IF(B5="No",B69,B69*B8/B7))</f>
        <v>#VALUE!</v>
      </c>
      <c r="E116" s="467" t="s">
        <v>573</v>
      </c>
      <c r="F116" s="507">
        <f>IF(OR(B68=N5,B68=N7,B68=N8),E209*100,(B108*B109)*100)</f>
        <v>0</v>
      </c>
      <c r="G116" s="458"/>
      <c r="H116" s="488"/>
      <c r="I116" s="489"/>
      <c r="J116" s="58"/>
      <c r="K116" s="41"/>
      <c r="L116" s="41"/>
      <c r="M116" s="41"/>
    </row>
    <row r="117" spans="1:14" ht="30.75" customHeight="1" thickBot="1">
      <c r="A117" s="458"/>
      <c r="B117" s="458"/>
      <c r="C117" s="458"/>
      <c r="D117" s="467"/>
      <c r="E117" s="467"/>
      <c r="F117" s="467"/>
      <c r="G117" s="458"/>
      <c r="H117" s="488"/>
      <c r="I117" s="489"/>
      <c r="J117" s="58"/>
      <c r="K117" s="41"/>
      <c r="L117" s="41"/>
      <c r="M117" s="41"/>
    </row>
    <row r="118" spans="1:14" ht="31.5" customHeight="1" thickBot="1">
      <c r="A118" s="508" t="s">
        <v>571</v>
      </c>
      <c r="B118" s="509"/>
      <c r="C118" s="509"/>
      <c r="D118" s="510"/>
      <c r="E118" s="510"/>
      <c r="F118" s="510"/>
      <c r="G118" s="510"/>
      <c r="H118" s="510"/>
      <c r="I118" s="510"/>
      <c r="J118" s="58"/>
      <c r="K118" s="57"/>
      <c r="L118" s="57"/>
      <c r="M118" s="57"/>
    </row>
    <row r="119" spans="1:14" ht="18.75" customHeight="1" thickBot="1">
      <c r="A119" s="458"/>
      <c r="B119" s="458"/>
      <c r="C119" s="458"/>
      <c r="D119" s="467"/>
      <c r="E119" s="467"/>
      <c r="F119" s="467"/>
      <c r="G119" s="458"/>
      <c r="H119" s="488"/>
      <c r="I119" s="489"/>
      <c r="J119" s="75"/>
      <c r="K119" s="57"/>
      <c r="L119" s="57"/>
      <c r="M119" s="57"/>
      <c r="N119" s="70" t="s">
        <v>1</v>
      </c>
    </row>
    <row r="120" spans="1:14" ht="43.15" customHeight="1">
      <c r="A120" s="511" t="s">
        <v>498</v>
      </c>
      <c r="B120" s="512" t="s">
        <v>377</v>
      </c>
      <c r="C120" s="513" t="s">
        <v>378</v>
      </c>
      <c r="D120" s="514" t="s">
        <v>381</v>
      </c>
      <c r="E120" s="515" t="s">
        <v>379</v>
      </c>
      <c r="F120" s="516" t="s">
        <v>499</v>
      </c>
      <c r="G120" s="458"/>
      <c r="H120" s="488"/>
      <c r="I120" s="489"/>
      <c r="J120" s="73"/>
      <c r="K120" s="72"/>
      <c r="L120" s="72"/>
      <c r="M120" s="72"/>
    </row>
    <row r="121" spans="1:14" ht="30.75" customHeight="1">
      <c r="A121" s="517" t="s">
        <v>48</v>
      </c>
      <c r="B121" s="518" t="e">
        <f>F115</f>
        <v>#VALUE!</v>
      </c>
      <c r="C121" s="519" t="e">
        <f>IF($B$5="No",D115,D115*$B$7/$B$8)</f>
        <v>#VALUE!</v>
      </c>
      <c r="D121" s="519" t="e">
        <f>100*C121/B121</f>
        <v>#VALUE!</v>
      </c>
      <c r="E121" s="520" t="e">
        <f>(C121-D121)</f>
        <v>#VALUE!</v>
      </c>
      <c r="F121" s="521" t="e">
        <f>IF(OR(B14=N1,B14=N2,B14=N3),
IF($B$5="No",E121-E205,
             B8*E121/B7-E205),"N/A")</f>
        <v>#VALUE!</v>
      </c>
      <c r="G121" s="522"/>
      <c r="H121" s="523"/>
      <c r="I121" s="524"/>
      <c r="J121" s="58"/>
      <c r="K121" s="57"/>
      <c r="L121" s="57"/>
      <c r="M121" s="57"/>
    </row>
    <row r="122" spans="1:14" ht="30.75" customHeight="1" thickBot="1">
      <c r="A122" s="525" t="s">
        <v>380</v>
      </c>
      <c r="B122" s="526">
        <f>F116</f>
        <v>0</v>
      </c>
      <c r="C122" s="527" t="e">
        <f>IF($B$5="No",D116,D116*$B$7/$B$8)</f>
        <v>#VALUE!</v>
      </c>
      <c r="D122" s="527" t="e">
        <f>100*C122/B122</f>
        <v>#VALUE!</v>
      </c>
      <c r="E122" s="528" t="e">
        <f>(C122-D122)</f>
        <v>#VALUE!</v>
      </c>
      <c r="F122" s="529" t="e">
        <f>IF(OR(B68=N5,B68=N7,B68=N8),
IF(B5="No",E122-E214,
       B8*E122/B7-E214),
"N/A")</f>
        <v>#VALUE!</v>
      </c>
      <c r="G122" s="522"/>
      <c r="H122" s="523"/>
      <c r="I122" s="524"/>
      <c r="J122" s="58"/>
      <c r="K122" s="57"/>
      <c r="L122" s="57"/>
      <c r="M122" s="57"/>
    </row>
    <row r="123" spans="1:14" ht="38.450000000000003" customHeight="1">
      <c r="A123" s="530" t="s">
        <v>501</v>
      </c>
      <c r="B123" s="512" t="s">
        <v>377</v>
      </c>
      <c r="C123" s="513" t="s">
        <v>378</v>
      </c>
      <c r="D123" s="514" t="s">
        <v>381</v>
      </c>
      <c r="E123" s="515" t="s">
        <v>379</v>
      </c>
      <c r="F123" s="531" t="s">
        <v>500</v>
      </c>
      <c r="G123" s="458"/>
      <c r="H123" s="523"/>
      <c r="I123" s="524"/>
      <c r="J123" s="58"/>
      <c r="K123" s="57"/>
      <c r="L123" s="57"/>
      <c r="M123" s="57"/>
    </row>
    <row r="124" spans="1:14" ht="30.75" customHeight="1">
      <c r="A124" s="517" t="s">
        <v>48</v>
      </c>
      <c r="B124" s="518" t="e">
        <f>B106*100</f>
        <v>#VALUE!</v>
      </c>
      <c r="C124" s="519">
        <f>IF($B$5="No",E199,E199*$B$7/$B$8)</f>
        <v>0</v>
      </c>
      <c r="D124" s="519" t="e">
        <f>100*C124/B124</f>
        <v>#VALUE!</v>
      </c>
      <c r="E124" s="520" t="e">
        <f>(C124-D124)</f>
        <v>#VALUE!</v>
      </c>
      <c r="F124" s="521" t="e">
        <f>IF(OR(B14=N1,B14=N2,B14=N3),
-E124+
IF(B5="No",(E199-E200),
(B7/B8)*((E199-E200))),
"N/A")</f>
        <v>#VALUE!</v>
      </c>
      <c r="G124" s="458"/>
      <c r="H124" s="523"/>
      <c r="I124" s="524"/>
      <c r="J124" s="58"/>
      <c r="K124" s="57"/>
      <c r="L124" s="57"/>
      <c r="M124" s="57"/>
    </row>
    <row r="125" spans="1:14" ht="30.75" customHeight="1" thickBot="1">
      <c r="A125" s="525" t="s">
        <v>380</v>
      </c>
      <c r="B125" s="526" t="e">
        <f>B108*100</f>
        <v>#VALUE!</v>
      </c>
      <c r="C125" s="519">
        <f>IF($B$5="No",E211,E211*$B$7/$B$8)</f>
        <v>0</v>
      </c>
      <c r="D125" s="527" t="e">
        <f>100*C125/B125</f>
        <v>#VALUE!</v>
      </c>
      <c r="E125" s="528" t="e">
        <f>(C125-D125)</f>
        <v>#VALUE!</v>
      </c>
      <c r="F125" s="529" t="e">
        <f>IF(OR(B68=N5,B68=N7,B68=N8),
-E125+
IF(B5="no",(E211-E212),
(B7/B8)*(E211-E212)),
"N/A")</f>
        <v>#VALUE!</v>
      </c>
      <c r="G125" s="458"/>
      <c r="H125" s="523"/>
      <c r="I125" s="524"/>
      <c r="J125" s="58"/>
      <c r="K125" s="57"/>
      <c r="L125" s="57"/>
      <c r="M125" s="57"/>
    </row>
    <row r="126" spans="1:14" ht="71.45" customHeight="1">
      <c r="A126" s="511" t="s">
        <v>464</v>
      </c>
      <c r="B126" s="532" t="s">
        <v>575</v>
      </c>
      <c r="C126" s="532" t="s">
        <v>576</v>
      </c>
      <c r="D126" s="532" t="s">
        <v>607</v>
      </c>
      <c r="E126" s="532" t="s">
        <v>577</v>
      </c>
      <c r="F126" s="533" t="s">
        <v>496</v>
      </c>
      <c r="G126" s="534" t="s">
        <v>489</v>
      </c>
      <c r="H126" s="534" t="s">
        <v>490</v>
      </c>
      <c r="I126" s="534" t="s">
        <v>491</v>
      </c>
      <c r="J126" s="58"/>
      <c r="K126" s="57"/>
      <c r="L126" s="57"/>
      <c r="M126" s="57"/>
    </row>
    <row r="127" spans="1:14" ht="38.450000000000003" customHeight="1">
      <c r="A127" s="517" t="s">
        <v>48</v>
      </c>
      <c r="B127" s="535" t="e">
        <f>E121-E124</f>
        <v>#VALUE!</v>
      </c>
      <c r="C127" s="535" t="e">
        <f>-(1-$B$111)*E121</f>
        <v>#VALUE!</v>
      </c>
      <c r="D127" s="535">
        <v>0</v>
      </c>
      <c r="E127" s="535">
        <f>IF($G$114,-E124-B127-C127,0)</f>
        <v>0</v>
      </c>
      <c r="F127" s="536" t="e">
        <f>SUM(B127:E127)</f>
        <v>#VALUE!</v>
      </c>
      <c r="G127" s="537" t="e">
        <f>E124</f>
        <v>#VALUE!</v>
      </c>
      <c r="H127" s="537" t="e">
        <f>IF($G$114=TRUE,0,E121*B111)</f>
        <v>#VALUE!</v>
      </c>
      <c r="I127" s="538" t="e">
        <f>G127+F127-H127</f>
        <v>#VALUE!</v>
      </c>
      <c r="J127" s="58"/>
      <c r="K127" s="57"/>
      <c r="L127" s="57"/>
      <c r="M127" s="57"/>
    </row>
    <row r="128" spans="1:14" ht="16.5" thickBot="1">
      <c r="A128" s="525" t="s">
        <v>380</v>
      </c>
      <c r="B128" s="539" t="e">
        <f>E122-E125</f>
        <v>#VALUE!</v>
      </c>
      <c r="C128" s="535" t="e">
        <f>-(1-$B$112)*E122</f>
        <v>#VALUE!</v>
      </c>
      <c r="D128" s="535">
        <f>IF(B5="Yes",E125,0)</f>
        <v>0</v>
      </c>
      <c r="E128" s="535">
        <f>IF($G$114,-E125-B128-C128,0)</f>
        <v>0</v>
      </c>
      <c r="F128" s="536" t="e">
        <f>SUM(B128:E128)</f>
        <v>#VALUE!</v>
      </c>
      <c r="G128" s="537" t="e">
        <f>IF(B5="Yes",0,E125)</f>
        <v>#VALUE!</v>
      </c>
      <c r="H128" s="537" t="e">
        <f>IF($G$114=TRUE,0,E122*B112)</f>
        <v>#VALUE!</v>
      </c>
      <c r="I128" s="538" t="e">
        <f>G128+F128-H128</f>
        <v>#VALUE!</v>
      </c>
      <c r="J128" s="58"/>
      <c r="K128" s="57"/>
      <c r="L128" s="57"/>
      <c r="M128" s="57"/>
    </row>
    <row r="129" spans="1:13" ht="32.25" customHeight="1">
      <c r="A129" s="458"/>
      <c r="B129" s="458"/>
      <c r="C129" s="458"/>
      <c r="D129" s="467"/>
      <c r="E129" s="467"/>
      <c r="F129" s="467"/>
      <c r="G129" s="458"/>
      <c r="H129" s="523"/>
      <c r="I129" s="524"/>
      <c r="J129" s="58"/>
      <c r="K129" s="41"/>
      <c r="L129" s="41"/>
      <c r="M129" s="41"/>
    </row>
    <row r="187" spans="1:13" ht="16.5" thickBot="1">
      <c r="A187" s="274" t="s">
        <v>515</v>
      </c>
      <c r="B187" s="274"/>
      <c r="C187" s="274"/>
      <c r="D187" s="275"/>
      <c r="E187" s="275"/>
      <c r="F187" s="275"/>
      <c r="G187" s="274"/>
      <c r="H187" s="275"/>
      <c r="I187" s="276"/>
      <c r="J187" s="277"/>
      <c r="K187" s="276"/>
      <c r="L187" s="276"/>
    </row>
    <row r="188" spans="1:13" ht="16.5" thickBot="1">
      <c r="A188" s="282" t="s">
        <v>340</v>
      </c>
      <c r="B188" s="286" t="s">
        <v>503</v>
      </c>
      <c r="C188" s="286" t="s">
        <v>504</v>
      </c>
      <c r="D188" s="286" t="s">
        <v>505</v>
      </c>
      <c r="E188" s="290" t="s">
        <v>516</v>
      </c>
      <c r="F188" s="286"/>
      <c r="G188" s="286"/>
      <c r="H188" s="290"/>
      <c r="I188" s="290">
        <v>1</v>
      </c>
      <c r="J188" s="290">
        <v>2</v>
      </c>
      <c r="K188" s="290">
        <v>3</v>
      </c>
      <c r="L188" s="290" t="s">
        <v>512</v>
      </c>
      <c r="M188" s="290" t="s">
        <v>516</v>
      </c>
    </row>
    <row r="189" spans="1:13" ht="31.5">
      <c r="A189" s="284" t="s">
        <v>373</v>
      </c>
      <c r="B189" s="294" t="str">
        <f>INDEX(DEAPEntries!$B$13:$D$20,MATCH($A189,DEAPEntries!$A$13:$A$20,0),MATCH(B$188,DEAPEntries!$B$13:$D$13,0))</f>
        <v>Heat Pump</v>
      </c>
      <c r="C189" s="294" t="str">
        <f>INDEX(DEAPEntries!$B$13:$D$20,MATCH($A189,DEAPEntries!$A$13:$A$20,0),MATCH(C$188,DEAPEntries!$B$13:$D$13,0))</f>
        <v>None</v>
      </c>
      <c r="D189" s="294" t="str">
        <f>INDEX(DEAPEntries!$B$13:$D$20,MATCH($A189,DEAPEntries!$A$13:$A$20,0),MATCH(D$188,DEAPEntries!$B$13:$D$13,0))</f>
        <v>None</v>
      </c>
      <c r="E189" s="291" t="str">
        <f t="shared" ref="E189:E195" si="1">VLOOKUP(A189,A189:D189,$G$1+1,FALSE)</f>
        <v>Heat Pump</v>
      </c>
      <c r="F189" s="278"/>
      <c r="G189" s="275"/>
      <c r="H189" s="298" t="s">
        <v>345</v>
      </c>
      <c r="I189" s="297" t="b">
        <f t="shared" ref="I189:K190" si="2">IF(B189="None",FALSE,TRUE)</f>
        <v>1</v>
      </c>
      <c r="J189" s="295" t="b">
        <f t="shared" si="2"/>
        <v>0</v>
      </c>
      <c r="K189" s="295" t="b">
        <f t="shared" si="2"/>
        <v>0</v>
      </c>
      <c r="L189" s="295" t="b">
        <f>IF(OR(I189,J189,K189),TRUE,FALSE)</f>
        <v>1</v>
      </c>
      <c r="M189" s="291" t="b">
        <f>VLOOKUP(H189,H189:L189,$G$1+1,FALSE)</f>
        <v>1</v>
      </c>
    </row>
    <row r="190" spans="1:13">
      <c r="A190" s="284" t="s">
        <v>374</v>
      </c>
      <c r="B190" s="294" t="str">
        <f>INDEX(DEAPEntries!$B$13:$D$20,MATCH($A190,DEAPEntries!$A$13:$A$20,0),MATCH(B$188,DEAPEntries!$B$13:$D$13,0))</f>
        <v>Heat Pump</v>
      </c>
      <c r="C190" s="294" t="str">
        <f>INDEX(DEAPEntries!$B$13:$D$20,MATCH($A190,DEAPEntries!$A$13:$A$20,0),MATCH(C$188,DEAPEntries!$B$13:$D$13,0))</f>
        <v>None</v>
      </c>
      <c r="D190" s="294" t="str">
        <f>INDEX(DEAPEntries!$B$13:$D$20,MATCH($A190,DEAPEntries!$A$13:$A$20,0),MATCH(D$188,DEAPEntries!$B$13:$D$13,0))</f>
        <v>None</v>
      </c>
      <c r="E190" s="291" t="str">
        <f t="shared" si="1"/>
        <v>Heat Pump</v>
      </c>
      <c r="F190" s="278"/>
      <c r="G190" s="275"/>
      <c r="H190" s="298" t="s">
        <v>346</v>
      </c>
      <c r="I190" s="297" t="b">
        <f t="shared" si="2"/>
        <v>1</v>
      </c>
      <c r="J190" s="295" t="b">
        <f t="shared" si="2"/>
        <v>0</v>
      </c>
      <c r="K190" s="295" t="b">
        <f t="shared" si="2"/>
        <v>0</v>
      </c>
      <c r="L190" s="295" t="b">
        <f>IF(OR(I190,J190,K190),TRUE,FALSE)</f>
        <v>1</v>
      </c>
      <c r="M190" s="291" t="b">
        <f>VLOOKUP(H190,H190:L190,$G$1+1,FALSE)</f>
        <v>1</v>
      </c>
    </row>
    <row r="191" spans="1:13">
      <c r="A191" s="284" t="s">
        <v>506</v>
      </c>
      <c r="B191" s="300">
        <f>INDEX(DEAPEntries!$B$13:$D$20,MATCH($A191,DEAPEntries!$A$13:$A$20,0),MATCH(B$188,DEAPEntries!$B$13:$D$13,0))</f>
        <v>0</v>
      </c>
      <c r="C191" s="300">
        <f>INDEX(DEAPEntries!$B$13:$D$20,MATCH($A191,DEAPEntries!$A$13:$A$20,0),MATCH(C$188,DEAPEntries!$B$13:$D$13,0))</f>
        <v>0</v>
      </c>
      <c r="D191" s="300">
        <f>INDEX(DEAPEntries!$B$13:$D$20,MATCH($A191,DEAPEntries!$A$13:$A$20,0),MATCH(D$188,DEAPEntries!$B$13:$D$13,0))</f>
        <v>0</v>
      </c>
      <c r="E191" s="301">
        <f t="shared" si="1"/>
        <v>0</v>
      </c>
      <c r="F191" s="278"/>
      <c r="G191" s="275"/>
      <c r="H191" s="275"/>
      <c r="I191" s="287"/>
      <c r="J191" s="283"/>
      <c r="K191" s="283"/>
      <c r="L191" s="287"/>
    </row>
    <row r="192" spans="1:13">
      <c r="A192" s="284" t="s">
        <v>507</v>
      </c>
      <c r="B192" s="300">
        <f>INDEX(DEAPEntries!$B$13:$D$20,MATCH($A192,DEAPEntries!$A$13:$A$20,0),MATCH(B$188,DEAPEntries!$B$13:$D$13,0))</f>
        <v>0</v>
      </c>
      <c r="C192" s="300">
        <f>INDEX(DEAPEntries!$B$13:$D$20,MATCH($A192,DEAPEntries!$A$13:$A$20,0),MATCH(C$188,DEAPEntries!$B$13:$D$13,0))</f>
        <v>0</v>
      </c>
      <c r="D192" s="300">
        <f>INDEX(DEAPEntries!$B$13:$D$20,MATCH($A192,DEAPEntries!$A$13:$A$20,0),MATCH(D$188,DEAPEntries!$B$13:$D$13,0))</f>
        <v>0</v>
      </c>
      <c r="E192" s="301">
        <f t="shared" si="1"/>
        <v>0</v>
      </c>
      <c r="F192" s="278"/>
      <c r="G192" s="275"/>
      <c r="H192" s="275"/>
      <c r="I192" s="287"/>
      <c r="J192" s="283"/>
      <c r="K192" s="283"/>
      <c r="L192" s="287"/>
    </row>
    <row r="193" spans="1:29">
      <c r="A193" s="284" t="s">
        <v>508</v>
      </c>
      <c r="B193" s="300" t="str">
        <f>INDEX(DEAPEntries!$B$13:$D$20,MATCH($A193,DEAPEntries!$A$13:$A$20,0),MATCH(B$188,DEAPEntries!$B$13:$D$13,0))</f>
        <v>No</v>
      </c>
      <c r="C193" s="300" t="str">
        <f>INDEX(DEAPEntries!$B$13:$D$20,MATCH($A193,DEAPEntries!$A$13:$A$20,0),MATCH(C$188,DEAPEntries!$B$13:$D$13,0))</f>
        <v>No</v>
      </c>
      <c r="D193" s="300" t="str">
        <f>INDEX(DEAPEntries!$B$13:$D$20,MATCH($A193,DEAPEntries!$A$13:$A$20,0),MATCH(D$188,DEAPEntries!$B$13:$D$13,0))</f>
        <v>No</v>
      </c>
      <c r="E193" s="301" t="str">
        <f t="shared" si="1"/>
        <v>No</v>
      </c>
      <c r="F193" s="278"/>
      <c r="G193" s="275"/>
      <c r="H193" s="275"/>
      <c r="I193" s="287"/>
      <c r="J193" s="283"/>
      <c r="K193" s="283"/>
      <c r="L193" s="283"/>
    </row>
    <row r="194" spans="1:29">
      <c r="A194" s="285" t="s">
        <v>87</v>
      </c>
      <c r="B194" s="300" t="str">
        <f>INDEX(DEAPEntries!$B$13:$D$20,MATCH($A194,DEAPEntries!$A$13:$A$20,0),MATCH(B$188,DEAPEntries!$B$13:$D$13,0))</f>
        <v>No</v>
      </c>
      <c r="C194" s="300" t="str">
        <f>INDEX(DEAPEntries!$B$13:$D$20,MATCH($A194,DEAPEntries!$A$13:$A$20,0),MATCH(C$188,DEAPEntries!$B$13:$D$13,0))</f>
        <v>No</v>
      </c>
      <c r="D194" s="300" t="str">
        <f>INDEX(DEAPEntries!$B$13:$D$20,MATCH($A194,DEAPEntries!$A$13:$A$20,0),MATCH(D$188,DEAPEntries!$B$13:$D$13,0))</f>
        <v>No</v>
      </c>
      <c r="E194" s="301" t="str">
        <f t="shared" si="1"/>
        <v>No</v>
      </c>
      <c r="F194" s="278"/>
      <c r="G194" s="275"/>
      <c r="H194" s="299" t="s">
        <v>511</v>
      </c>
      <c r="I194" s="296" t="b">
        <f>IF(OR(B194="Yes",C194="Yes",D194="Yes"),TRUE,FALSE)</f>
        <v>0</v>
      </c>
      <c r="J194" s="283"/>
      <c r="K194" s="283"/>
      <c r="L194" s="283"/>
    </row>
    <row r="195" spans="1:29">
      <c r="A195" s="279" t="s">
        <v>452</v>
      </c>
      <c r="B195" s="300">
        <f>INDEX(DEAPEntries!$B$13:$D$20,MATCH($A195,DEAPEntries!$A$13:$A$20,0),MATCH(B$188,DEAPEntries!$B$13:$D$13,0))</f>
        <v>0</v>
      </c>
      <c r="C195" s="300">
        <f>INDEX(DEAPEntries!$B$13:$D$20,MATCH($A195,DEAPEntries!$A$13:$A$20,0),MATCH(C$188,DEAPEntries!$B$13:$D$13,0))</f>
        <v>0</v>
      </c>
      <c r="D195" s="300">
        <f>INDEX(DEAPEntries!$B$13:$D$20,MATCH($A195,DEAPEntries!$A$13:$A$20,0),MATCH(D$188,DEAPEntries!$B$13:$D$13,0))</f>
        <v>0</v>
      </c>
      <c r="E195" s="301">
        <f t="shared" si="1"/>
        <v>0</v>
      </c>
      <c r="F195" s="278"/>
      <c r="G195" s="280"/>
      <c r="H195" s="280"/>
      <c r="I195" s="288"/>
      <c r="J195" s="289"/>
      <c r="K195" s="281"/>
      <c r="L195" s="283"/>
    </row>
    <row r="197" spans="1:29" s="95" customFormat="1" ht="12.75">
      <c r="A197" s="317" t="s">
        <v>568</v>
      </c>
      <c r="B197" s="318" t="s">
        <v>553</v>
      </c>
      <c r="C197" s="318" t="s">
        <v>554</v>
      </c>
      <c r="D197" s="318" t="s">
        <v>555</v>
      </c>
      <c r="E197" s="309"/>
      <c r="F197" s="309"/>
      <c r="G197" s="309"/>
      <c r="H197" s="309"/>
      <c r="I197" s="308"/>
      <c r="J197" s="97"/>
      <c r="L197" s="97"/>
      <c r="AC197" s="97"/>
    </row>
    <row r="198" spans="1:29" s="95" customFormat="1" ht="60" customHeight="1">
      <c r="A198" s="310" t="s">
        <v>590</v>
      </c>
      <c r="B198" s="310" t="str">
        <f>RIGHT(B197)</f>
        <v>1</v>
      </c>
      <c r="C198" s="310" t="str">
        <f>RIGHT(C197)</f>
        <v>2</v>
      </c>
      <c r="D198" s="310" t="str">
        <f>RIGHT(D197)</f>
        <v>3</v>
      </c>
      <c r="E198" s="310" t="s">
        <v>552</v>
      </c>
      <c r="F198" s="311" t="s">
        <v>547</v>
      </c>
      <c r="G198" s="311" t="s">
        <v>550</v>
      </c>
      <c r="H198" s="311" t="s">
        <v>556</v>
      </c>
      <c r="I198" s="97"/>
      <c r="J198" s="97"/>
      <c r="L198" s="97"/>
      <c r="AC198" s="97"/>
    </row>
    <row r="199" spans="1:29" s="95" customFormat="1">
      <c r="A199" s="316" t="str">
        <f>HeatingCalc_1!A60</f>
        <v>Space Heating Energy Requirement</v>
      </c>
      <c r="B199" s="312">
        <f>HeatingCalc_1!H60</f>
        <v>0</v>
      </c>
      <c r="C199" s="313" cm="1">
        <f t="array" aca="1" ref="C199" ca="1">INDIRECT($F199&amp;C$198&amp;"!"&amp;$G199)</f>
        <v>0</v>
      </c>
      <c r="D199" s="313" cm="1">
        <f t="array" aca="1" ref="D199" ca="1">INDIRECT($F199&amp;D$198&amp;"!"&amp;$G199)</f>
        <v>0</v>
      </c>
      <c r="E199" s="331">
        <f t="shared" ref="E199:E207" si="3">VLOOKUP(A199,A199:D199,$G$1+1,FALSE)</f>
        <v>0</v>
      </c>
      <c r="F199" s="314" t="str">
        <f ca="1">LEFT(H199,FIND("1",H199)-1)</f>
        <v>HeatingCalc_</v>
      </c>
      <c r="G199" s="314" t="str">
        <f ca="1">RIGHT(H199,LEN(H199)-FIND("!",H199))</f>
        <v>H60</v>
      </c>
      <c r="H199" s="315" t="str">
        <f ca="1">SUBSTITUTE( _xlfn.FORMULATEXT(B199),"=","")</f>
        <v>HeatingCalc_1!H60</v>
      </c>
      <c r="L199" s="97"/>
      <c r="AC199" s="97"/>
    </row>
    <row r="200" spans="1:29" s="95" customFormat="1">
      <c r="A200" s="316" t="str">
        <f>HeatingCalc_1!A69</f>
        <v>Total Delivered Energy Required (this will be gas or elec)</v>
      </c>
      <c r="B200" s="312" t="e">
        <f>HeatingCalc_1!H69</f>
        <v>#VALUE!</v>
      </c>
      <c r="C200" s="313" t="e" cm="1">
        <f t="array" aca="1" ref="C200" ca="1">INDIRECT($F200&amp;C$198&amp;"!"&amp;$G200)</f>
        <v>#VALUE!</v>
      </c>
      <c r="D200" s="313" t="e" cm="1">
        <f t="array" aca="1" ref="D200" ca="1">INDIRECT($F200&amp;D$198&amp;"!"&amp;$G200)</f>
        <v>#VALUE!</v>
      </c>
      <c r="E200" s="331" t="e">
        <f t="shared" si="3"/>
        <v>#VALUE!</v>
      </c>
      <c r="F200" s="314" t="str">
        <f ca="1">LEFT(H200,FIND("1",H200)-1)</f>
        <v>HeatingCalc_</v>
      </c>
      <c r="G200" s="314" t="str">
        <f ca="1">RIGHT(H200,LEN(H200)-FIND("!",H200))</f>
        <v>H69</v>
      </c>
      <c r="H200" s="315" t="str">
        <f ca="1">SUBSTITUTE( _xlfn.FORMULATEXT(B200),"=","")</f>
        <v>HeatingCalc_1!H69</v>
      </c>
      <c r="L200" s="97"/>
      <c r="AC200" s="97"/>
    </row>
    <row r="201" spans="1:29" s="95" customFormat="1">
      <c r="A201" s="316" t="str">
        <f>HeatingCalc_1!A71</f>
        <v>SPF - Heat Pump &amp; Back up Heater</v>
      </c>
      <c r="B201" s="312" t="e">
        <f>HeatingCalc_1!H71</f>
        <v>#VALUE!</v>
      </c>
      <c r="C201" s="313" t="e" cm="1">
        <f t="array" aca="1" ref="C201" ca="1">INDIRECT($F201&amp;C$198&amp;"!"&amp;$G201)</f>
        <v>#VALUE!</v>
      </c>
      <c r="D201" s="313" t="e" cm="1">
        <f t="array" aca="1" ref="D201" ca="1">INDIRECT($F201&amp;D$198&amp;"!"&amp;$G201)</f>
        <v>#VALUE!</v>
      </c>
      <c r="E201" s="331" t="e">
        <f t="shared" si="3"/>
        <v>#VALUE!</v>
      </c>
      <c r="F201" s="314" t="str">
        <f t="shared" ref="F201:F204" ca="1" si="4">LEFT(H201,FIND("1",H201)-1)</f>
        <v>HeatingCalc_</v>
      </c>
      <c r="G201" s="314" t="str">
        <f t="shared" ref="G201:G204" ca="1" si="5">RIGHT(H201,LEN(H201)-FIND("!",H201))</f>
        <v>H71</v>
      </c>
      <c r="H201" s="315" t="str">
        <f t="shared" ref="H201:H204" ca="1" si="6">SUBSTITUTE( _xlfn.FORMULATEXT(B201),"=","")</f>
        <v>HeatingCalc_1!H71</v>
      </c>
      <c r="L201" s="97"/>
      <c r="AC201" s="97"/>
    </row>
    <row r="202" spans="1:29" s="95" customFormat="1">
      <c r="A202" s="316" t="str">
        <f>HeatingCalc_1!A73</f>
        <v>Renewable Contribution calculated in DEAP</v>
      </c>
      <c r="B202" s="312" t="e">
        <f>HeatingCalc_1!H73</f>
        <v>#VALUE!</v>
      </c>
      <c r="C202" s="313" t="e" cm="1">
        <f t="array" aca="1" ref="C202" ca="1">INDIRECT($F202&amp;C$198&amp;"!"&amp;$G202)</f>
        <v>#VALUE!</v>
      </c>
      <c r="D202" s="313" t="e" cm="1">
        <f t="array" aca="1" ref="D202" ca="1">INDIRECT($F202&amp;D$198&amp;"!"&amp;$G202)</f>
        <v>#VALUE!</v>
      </c>
      <c r="E202" s="331" t="e">
        <f t="shared" si="3"/>
        <v>#VALUE!</v>
      </c>
      <c r="F202" s="314" t="str">
        <f t="shared" ca="1" si="4"/>
        <v>HeatingCalc_</v>
      </c>
      <c r="G202" s="314" t="str">
        <f t="shared" ca="1" si="5"/>
        <v>H73</v>
      </c>
      <c r="H202" s="315" t="str">
        <f t="shared" ca="1" si="6"/>
        <v>HeatingCalc_1!H73</v>
      </c>
      <c r="L202" s="97"/>
      <c r="AC202" s="97"/>
    </row>
    <row r="203" spans="1:29" s="95" customFormat="1">
      <c r="A203" s="316" t="str">
        <f>HeatingCalc_1!A75</f>
        <v>Space Heating Provided by Heat Pump</v>
      </c>
      <c r="B203" s="312" t="e">
        <f>HeatingCalc_1!H75</f>
        <v>#VALUE!</v>
      </c>
      <c r="C203" s="313" t="e" cm="1">
        <f t="array" aca="1" ref="C203" ca="1">INDIRECT($F203&amp;C$198&amp;"!"&amp;$G203)</f>
        <v>#VALUE!</v>
      </c>
      <c r="D203" s="313" t="e" cm="1">
        <f t="array" aca="1" ref="D203" ca="1">INDIRECT($F203&amp;D$198&amp;"!"&amp;$G203)</f>
        <v>#VALUE!</v>
      </c>
      <c r="E203" s="331" t="e">
        <f t="shared" si="3"/>
        <v>#VALUE!</v>
      </c>
      <c r="F203" s="314" t="str">
        <f t="shared" ca="1" si="4"/>
        <v>HeatingCalc_</v>
      </c>
      <c r="G203" s="314" t="str">
        <f t="shared" ca="1" si="5"/>
        <v>H75</v>
      </c>
      <c r="H203" s="315" t="str">
        <f t="shared" ca="1" si="6"/>
        <v>HeatingCalc_1!H75</v>
      </c>
      <c r="I203" s="96"/>
      <c r="L203" s="97"/>
      <c r="AC203" s="97"/>
    </row>
    <row r="204" spans="1:29" s="95" customFormat="1">
      <c r="A204" s="316" t="str">
        <f>HeatingCalc_1!A77</f>
        <v>SPF - Heat Pump only</v>
      </c>
      <c r="B204" s="312" t="e">
        <f>HeatingCalc_1!H77</f>
        <v>#VALUE!</v>
      </c>
      <c r="C204" s="313" t="e" cm="1">
        <f t="array" aca="1" ref="C204" ca="1">INDIRECT($F204&amp;C$198&amp;"!"&amp;$G204)</f>
        <v>#VALUE!</v>
      </c>
      <c r="D204" s="313" t="e" cm="1">
        <f t="array" aca="1" ref="D204" ca="1">INDIRECT($F204&amp;D$198&amp;"!"&amp;$G204)</f>
        <v>#VALUE!</v>
      </c>
      <c r="E204" s="331" t="e">
        <f t="shared" si="3"/>
        <v>#VALUE!</v>
      </c>
      <c r="F204" s="314" t="str">
        <f t="shared" ca="1" si="4"/>
        <v>HeatingCalc_</v>
      </c>
      <c r="G204" s="314" t="str">
        <f t="shared" ca="1" si="5"/>
        <v>H77</v>
      </c>
      <c r="H204" s="315" t="str">
        <f t="shared" ca="1" si="6"/>
        <v>HeatingCalc_1!H77</v>
      </c>
      <c r="L204" s="97"/>
      <c r="AC204" s="97"/>
    </row>
    <row r="205" spans="1:29">
      <c r="A205" s="316" t="str">
        <f>HeatingCalc_1!A79</f>
        <v>Renewable Contribution provided by Heat Pump</v>
      </c>
      <c r="B205" s="312" t="e">
        <f>HeatingCalc_1!H79</f>
        <v>#VALUE!</v>
      </c>
      <c r="C205" s="313" t="e" cm="1">
        <f t="array" aca="1" ref="C205" ca="1">INDIRECT($F205&amp;C$198&amp;"!"&amp;$G205)</f>
        <v>#VALUE!</v>
      </c>
      <c r="D205" s="313" t="e" cm="1">
        <f t="array" aca="1" ref="D205" ca="1">INDIRECT($F205&amp;D$198&amp;"!"&amp;$G205)</f>
        <v>#VALUE!</v>
      </c>
      <c r="E205" s="331" t="e">
        <f t="shared" si="3"/>
        <v>#VALUE!</v>
      </c>
      <c r="F205" s="314" t="str">
        <f t="shared" ref="F205:F207" ca="1" si="7">LEFT(H205,FIND("1",H205)-1)</f>
        <v>HeatingCalc_</v>
      </c>
      <c r="G205" s="314" t="str">
        <f t="shared" ref="G205:G207" ca="1" si="8">RIGHT(H205,LEN(H205)-FIND("!",H205))</f>
        <v>H79</v>
      </c>
      <c r="H205" s="315" t="str">
        <f t="shared" ref="H205:H207" ca="1" si="9">SUBSTITUTE( _xlfn.FORMULATEXT(B205),"=","")</f>
        <v>HeatingCalc_1!H79</v>
      </c>
    </row>
    <row r="206" spans="1:29">
      <c r="A206" s="316" t="str">
        <f>HeatingCalc_1!A82</f>
        <v>Renewable Contribution from Exhaust Air Heat Pump</v>
      </c>
      <c r="B206" s="312" t="e">
        <f>HeatingCalc_1!H82</f>
        <v>#VALUE!</v>
      </c>
      <c r="C206" s="313" t="e" cm="1">
        <f t="array" aca="1" ref="C206" ca="1">INDIRECT($F206&amp;C$198&amp;"!"&amp;$G206)</f>
        <v>#VALUE!</v>
      </c>
      <c r="D206" s="313" t="e" cm="1">
        <f t="array" aca="1" ref="D206" ca="1">INDIRECT($F206&amp;D$198&amp;"!"&amp;$G206)</f>
        <v>#VALUE!</v>
      </c>
      <c r="E206" s="331" t="e">
        <f t="shared" si="3"/>
        <v>#VALUE!</v>
      </c>
      <c r="F206" s="314" t="str">
        <f t="shared" ca="1" si="7"/>
        <v>HeatingCalc_</v>
      </c>
      <c r="G206" s="314" t="str">
        <f t="shared" ca="1" si="8"/>
        <v>H82</v>
      </c>
      <c r="H206" s="315" t="str">
        <f t="shared" ca="1" si="9"/>
        <v>HeatingCalc_1!H82</v>
      </c>
    </row>
    <row r="207" spans="1:29">
      <c r="A207" s="316" t="str">
        <f>HeatingCalc_1!I85</f>
        <v>% renewables</v>
      </c>
      <c r="B207" s="319">
        <f>HeatingCalc_1!H85</f>
        <v>1</v>
      </c>
      <c r="C207" s="313" cm="1">
        <f t="array" aca="1" ref="C207" ca="1">INDIRECT($F207&amp;C$198&amp;"!"&amp;$G207)</f>
        <v>1</v>
      </c>
      <c r="D207" s="313" cm="1">
        <f t="array" aca="1" ref="D207" ca="1">INDIRECT($F207&amp;D$198&amp;"!"&amp;$G207)</f>
        <v>1</v>
      </c>
      <c r="E207" s="332">
        <f t="shared" si="3"/>
        <v>1</v>
      </c>
      <c r="F207" s="314" t="str">
        <f t="shared" ca="1" si="7"/>
        <v>HeatingCalc_</v>
      </c>
      <c r="G207" s="314" t="str">
        <f t="shared" ca="1" si="8"/>
        <v>H85</v>
      </c>
      <c r="H207" s="315" t="str">
        <f t="shared" ca="1" si="9"/>
        <v>HeatingCalc_1!H85</v>
      </c>
    </row>
    <row r="208" spans="1:29" customFormat="1" ht="12.75">
      <c r="A208" s="310" t="s">
        <v>574</v>
      </c>
    </row>
    <row r="209" spans="1:13">
      <c r="A209" s="316" t="str">
        <f>DHWCalc_1!A12</f>
        <v>Efficiency for DEAP</v>
      </c>
      <c r="B209" s="319">
        <f>DHWCalc_1!B12</f>
        <v>0</v>
      </c>
      <c r="C209" s="313" cm="1">
        <f t="array" aca="1" ref="C209" ca="1">INDIRECT($F209&amp;C$198&amp;"!"&amp;$G209)</f>
        <v>0</v>
      </c>
      <c r="D209" s="313" cm="1">
        <f t="array" aca="1" ref="D209" ca="1">INDIRECT($F209&amp;D$198&amp;"!"&amp;$G209)</f>
        <v>0</v>
      </c>
      <c r="E209" s="332">
        <f>VLOOKUP(A209,A209:D209,$G$1+1,FALSE)</f>
        <v>0</v>
      </c>
      <c r="F209" s="314" t="str">
        <f t="shared" ref="F209" ca="1" si="10">LEFT(H209,FIND("1",H209)-1)</f>
        <v>DHWCalc_</v>
      </c>
      <c r="G209" s="314" t="str">
        <f t="shared" ref="G209" ca="1" si="11">RIGHT(H209,LEN(H209)-FIND("!",H209))</f>
        <v>B12</v>
      </c>
      <c r="H209" s="315" t="str">
        <f t="shared" ref="H209" ca="1" si="12">SUBSTITUTE( _xlfn.FORMULATEXT(B209),"=","")</f>
        <v>DHWCalc_1!B12</v>
      </c>
    </row>
    <row r="210" spans="1:13" ht="31.5">
      <c r="A210" s="316" t="str">
        <f>DHWCalc_1!A17</f>
        <v>Fraction of Demand met by backup energy to meet temperature shortfall</v>
      </c>
      <c r="B210" s="320" t="e">
        <f>DHWCalc_1!B17</f>
        <v>#VALUE!</v>
      </c>
      <c r="C210" s="313" cm="1">
        <f t="array" aca="1" ref="C210" ca="1">INDIRECT($F210&amp;C$198&amp;"!"&amp;$G210)</f>
        <v>1.1818181818181819</v>
      </c>
      <c r="D210" s="313" cm="1">
        <f t="array" aca="1" ref="D210" ca="1">INDIRECT($F210&amp;D$198&amp;"!"&amp;$G210)</f>
        <v>1.1818181818181819</v>
      </c>
      <c r="E210" s="385" t="e">
        <f>VLOOKUP(A210,A210:D210,$G$1+1,FALSE)</f>
        <v>#VALUE!</v>
      </c>
      <c r="F210" s="314" t="str">
        <f t="shared" ref="F210:F215" ca="1" si="13">LEFT(H210,FIND("1",H210)-1)</f>
        <v>DHWCalc_</v>
      </c>
      <c r="G210" s="314" t="str">
        <f t="shared" ref="G210:G215" ca="1" si="14">RIGHT(H210,LEN(H210)-FIND("!",H210))</f>
        <v>B17</v>
      </c>
      <c r="H210" s="315" t="str">
        <f t="shared" ref="H210:H215" ca="1" si="15">SUBSTITUTE( _xlfn.FORMULATEXT(B210),"=","")</f>
        <v>DHWCalc_1!B17</v>
      </c>
    </row>
    <row r="211" spans="1:13">
      <c r="A211" s="316" t="str">
        <f>DHWCalc_1!A19</f>
        <v>DHW Demand for Dwelling</v>
      </c>
      <c r="B211" s="387">
        <f>DHWCalc_1!B19</f>
        <v>0</v>
      </c>
      <c r="C211" s="313" cm="1">
        <f t="array" aca="1" ref="C211" ca="1">INDIRECT($F211&amp;C$198&amp;"!"&amp;$G211)</f>
        <v>0</v>
      </c>
      <c r="D211" s="313" cm="1">
        <f t="array" aca="1" ref="D211" ca="1">INDIRECT($F211&amp;D$198&amp;"!"&amp;$G211)</f>
        <v>0</v>
      </c>
      <c r="E211" s="390">
        <f t="shared" ref="E211:E212" si="16">VLOOKUP(A211,A211:D211,$G$1+1,FALSE)</f>
        <v>0</v>
      </c>
      <c r="F211" s="314" t="str">
        <f t="shared" ref="F211:F212" ca="1" si="17">LEFT(H211,FIND("1",H211)-1)</f>
        <v>DHWCalc_</v>
      </c>
      <c r="G211" s="314" t="str">
        <f t="shared" ref="G211:G212" ca="1" si="18">RIGHT(H211,LEN(H211)-FIND("!",H211))</f>
        <v>B19</v>
      </c>
      <c r="H211" s="315" t="str">
        <f t="shared" ref="H211:H212" ca="1" si="19">SUBSTITUTE( _xlfn.FORMULATEXT(B211),"=","")</f>
        <v>DHWCalc_1!B19</v>
      </c>
      <c r="I211" s="355"/>
      <c r="K211" s="355"/>
      <c r="L211" s="355"/>
      <c r="M211" s="355"/>
    </row>
    <row r="212" spans="1:13">
      <c r="A212" s="316" t="str">
        <f>DHWCalc_1!A28</f>
        <v>Total Fuel Required for Water Heating</v>
      </c>
      <c r="B212" s="387" t="e">
        <f>DHWCalc_1!B28</f>
        <v>#VALUE!</v>
      </c>
      <c r="C212" s="313" t="e" cm="1">
        <f t="array" aca="1" ref="C212" ca="1">INDIRECT($F212&amp;C$198&amp;"!"&amp;$G212)</f>
        <v>#DIV/0!</v>
      </c>
      <c r="D212" s="313" t="e" cm="1">
        <f t="array" aca="1" ref="D212" ca="1">INDIRECT($F212&amp;D$198&amp;"!"&amp;$G212)</f>
        <v>#DIV/0!</v>
      </c>
      <c r="E212" s="390" t="e">
        <f t="shared" si="16"/>
        <v>#VALUE!</v>
      </c>
      <c r="F212" s="314" t="str">
        <f t="shared" ca="1" si="17"/>
        <v>DHWCalc_</v>
      </c>
      <c r="G212" s="314" t="str">
        <f t="shared" ca="1" si="18"/>
        <v>B28</v>
      </c>
      <c r="H212" s="315" t="str">
        <f t="shared" ca="1" si="19"/>
        <v>DHWCalc_1!B28</v>
      </c>
      <c r="I212" s="355"/>
      <c r="K212" s="355"/>
      <c r="L212" s="355"/>
      <c r="M212" s="355"/>
    </row>
    <row r="213" spans="1:13">
      <c r="A213" s="316" t="str">
        <f>DHWCalc_1!A30</f>
        <v>SPF</v>
      </c>
      <c r="B213" s="319" t="e">
        <f>DHWCalc_1!B30</f>
        <v>#VALUE!</v>
      </c>
      <c r="C213" s="313" t="e" cm="1">
        <f t="array" aca="1" ref="C213" ca="1">INDIRECT($F213&amp;C$198&amp;"!"&amp;$G213)</f>
        <v>#DIV/0!</v>
      </c>
      <c r="D213" s="313" t="e" cm="1">
        <f t="array" aca="1" ref="D213" ca="1">INDIRECT($F213&amp;D$198&amp;"!"&amp;$G213)</f>
        <v>#DIV/0!</v>
      </c>
      <c r="E213" s="332" t="e">
        <f t="shared" ref="E213" si="20">VLOOKUP(A213,A213:D213,$G$1+1,FALSE)</f>
        <v>#VALUE!</v>
      </c>
      <c r="F213" s="314" t="str">
        <f t="shared" ref="F213" ca="1" si="21">LEFT(H213,FIND("1",H213)-1)</f>
        <v>DHWCalc_</v>
      </c>
      <c r="G213" s="314" t="str">
        <f t="shared" ref="G213" ca="1" si="22">RIGHT(H213,LEN(H213)-FIND("!",H213))</f>
        <v>B30</v>
      </c>
      <c r="H213" s="315" t="str">
        <f t="shared" ref="H213" ca="1" si="23">SUBSTITUTE( _xlfn.FORMULATEXT(B213),"=","")</f>
        <v>DHWCalc_1!B30</v>
      </c>
      <c r="I213" s="391"/>
      <c r="K213" s="391"/>
      <c r="L213" s="391"/>
      <c r="M213" s="391"/>
    </row>
    <row r="214" spans="1:13">
      <c r="A214" s="316" t="str">
        <f>DHWCalc_1!A32</f>
        <v>Renewable Contribution calculated in DEAP</v>
      </c>
      <c r="B214" s="388" t="e">
        <f>DHWCalc_1!B32</f>
        <v>#VALUE!</v>
      </c>
      <c r="C214" s="313" t="e" cm="1">
        <f t="array" aca="1" ref="C214" ca="1">INDIRECT($F214&amp;C$198&amp;"!"&amp;$G214)</f>
        <v>#DIV/0!</v>
      </c>
      <c r="D214" s="313" t="e" cm="1">
        <f t="array" aca="1" ref="D214" ca="1">INDIRECT($F214&amp;D$198&amp;"!"&amp;$G214)</f>
        <v>#DIV/0!</v>
      </c>
      <c r="E214" s="389" t="e">
        <f t="shared" ref="E214" si="24">VLOOKUP(A214,A214:D214,$G$1+1,FALSE)</f>
        <v>#VALUE!</v>
      </c>
      <c r="F214" s="314" t="str">
        <f t="shared" ref="F214" ca="1" si="25">LEFT(H214,FIND("1",H214)-1)</f>
        <v>DHWCalc_</v>
      </c>
      <c r="G214" s="314" t="str">
        <f t="shared" ref="G214" ca="1" si="26">RIGHT(H214,LEN(H214)-FIND("!",H214))</f>
        <v>B32</v>
      </c>
      <c r="H214" s="315" t="str">
        <f t="shared" ref="H214" ca="1" si="27">SUBSTITUTE( _xlfn.FORMULATEXT(B214),"=","")</f>
        <v>DHWCalc_1!B32</v>
      </c>
      <c r="I214" s="355"/>
      <c r="K214" s="355"/>
      <c r="L214" s="355"/>
      <c r="M214" s="355"/>
    </row>
    <row r="215" spans="1:13">
      <c r="A215" s="316" t="str">
        <f>DHWCalc_1!A34</f>
        <v>Hot Water Provided by Heat Pump</v>
      </c>
      <c r="B215" s="388" t="e">
        <f>DHWCalc_1!B34</f>
        <v>#VALUE!</v>
      </c>
      <c r="C215" s="313" t="e" cm="1">
        <f t="array" aca="1" ref="C215" ca="1">INDIRECT($F215&amp;C$198&amp;"!"&amp;$G215)</f>
        <v>#DIV/0!</v>
      </c>
      <c r="D215" s="313" t="e" cm="1">
        <f t="array" aca="1" ref="D215" ca="1">INDIRECT($F215&amp;D$198&amp;"!"&amp;$G215)</f>
        <v>#DIV/0!</v>
      </c>
      <c r="E215" s="389" t="e">
        <f t="shared" ref="E215" si="28">VLOOKUP(A215,A215:D215,$G$1+1,FALSE)</f>
        <v>#VALUE!</v>
      </c>
      <c r="F215" s="314" t="str">
        <f t="shared" ca="1" si="13"/>
        <v>DHWCalc_</v>
      </c>
      <c r="G215" s="314" t="str">
        <f t="shared" ca="1" si="14"/>
        <v>B34</v>
      </c>
      <c r="H215" s="315" t="str">
        <f t="shared" ca="1" si="15"/>
        <v>DHWCalc_1!B34</v>
      </c>
      <c r="I215" s="355"/>
      <c r="K215" s="355"/>
      <c r="L215" s="355"/>
      <c r="M215" s="355"/>
    </row>
    <row r="216" spans="1:13">
      <c r="A216" s="316" t="str">
        <f>DHWCalc_1!A36</f>
        <v>% Renewable</v>
      </c>
      <c r="B216" s="386">
        <f>DHWCalc_1!B36</f>
        <v>1</v>
      </c>
      <c r="C216" s="313" cm="1">
        <f t="array" aca="1" ref="C216" ca="1">INDIRECT($F216&amp;C$198&amp;"!"&amp;$G216)</f>
        <v>1</v>
      </c>
      <c r="D216" s="313" cm="1">
        <f t="array" aca="1" ref="D216" ca="1">INDIRECT($F216&amp;D$198&amp;"!"&amp;$G216)</f>
        <v>1</v>
      </c>
      <c r="E216" s="332">
        <f t="shared" ref="E216:E222" si="29">VLOOKUP(A216,A216:D216,$G$1+1,FALSE)</f>
        <v>1</v>
      </c>
      <c r="F216" s="314" t="str">
        <f t="shared" ref="F216:F222" ca="1" si="30">LEFT(H216,FIND("1",H216)-1)</f>
        <v>DHWCalc_</v>
      </c>
      <c r="G216" s="314" t="str">
        <f t="shared" ref="G216:G222" ca="1" si="31">RIGHT(H216,LEN(H216)-FIND("!",H216))</f>
        <v>B36</v>
      </c>
      <c r="H216" s="315" t="str">
        <f t="shared" ref="H216:H222" ca="1" si="32">SUBSTITUTE( _xlfn.FORMULATEXT(B216),"=","")</f>
        <v>DHWCalc_1!B36</v>
      </c>
    </row>
    <row r="217" spans="1:13">
      <c r="A217" s="316" t="str">
        <f>DHWCalc_1!A57</f>
        <v>SPF</v>
      </c>
      <c r="B217" s="386" t="e">
        <f>DHWCalc_1!B57</f>
        <v>#DIV/0!</v>
      </c>
      <c r="C217" s="313" t="e" cm="1">
        <f t="array" aca="1" ref="C217" ca="1">INDIRECT($F217&amp;C$198&amp;"!"&amp;$G217)</f>
        <v>#DIV/0!</v>
      </c>
      <c r="D217" s="313" t="e" cm="1">
        <f t="array" aca="1" ref="D217" ca="1">INDIRECT($F217&amp;D$198&amp;"!"&amp;$G217)</f>
        <v>#DIV/0!</v>
      </c>
      <c r="E217" s="332" t="e">
        <f t="shared" ref="E217" si="33">VLOOKUP(A217,A217:D217,$G$1+1,FALSE)</f>
        <v>#DIV/0!</v>
      </c>
      <c r="F217" s="314" t="str">
        <f t="shared" ref="F217" ca="1" si="34">LEFT(H217,FIND("1",H217)-1)</f>
        <v>DHWCalc_</v>
      </c>
      <c r="G217" s="314" t="str">
        <f t="shared" ref="G217" ca="1" si="35">RIGHT(H217,LEN(H217)-FIND("!",H217))</f>
        <v>B57</v>
      </c>
      <c r="H217" s="315" t="str">
        <f t="shared" ref="H217" ca="1" si="36">SUBSTITUTE( _xlfn.FORMULATEXT(B217),"=","")</f>
        <v>DHWCalc_1!B57</v>
      </c>
      <c r="I217" s="391"/>
      <c r="K217" s="391"/>
      <c r="L217" s="391"/>
      <c r="M217" s="391"/>
    </row>
    <row r="218" spans="1:13">
      <c r="A218" s="316" t="str">
        <f>DHWCalc_1!A75</f>
        <v>SPF</v>
      </c>
      <c r="B218" s="386">
        <f>DHWCalc_1!B75</f>
        <v>3.33</v>
      </c>
      <c r="C218" s="313" cm="1">
        <f t="array" aca="1" ref="C218" ca="1">INDIRECT($F218&amp;C$198&amp;"!"&amp;$G218)</f>
        <v>3.33</v>
      </c>
      <c r="D218" s="313" cm="1">
        <f t="array" aca="1" ref="D218" ca="1">INDIRECT($F218&amp;D$198&amp;"!"&amp;$G218)</f>
        <v>3.33</v>
      </c>
      <c r="E218" s="332">
        <f t="shared" ref="E218" si="37">VLOOKUP(A218,A218:D218,$G$1+1,FALSE)</f>
        <v>3.33</v>
      </c>
      <c r="F218" s="314" t="str">
        <f t="shared" ref="F218" ca="1" si="38">LEFT(H218,FIND("1",H218)-1)</f>
        <v>DHWCalc_</v>
      </c>
      <c r="G218" s="314" t="str">
        <f t="shared" ref="G218" ca="1" si="39">RIGHT(H218,LEN(H218)-FIND("!",H218))</f>
        <v>B75</v>
      </c>
      <c r="H218" s="315" t="str">
        <f t="shared" ref="H218" ca="1" si="40">SUBSTITUTE( _xlfn.FORMULATEXT(B218),"=","")</f>
        <v>DHWCalc_1!B75</v>
      </c>
      <c r="I218" s="391"/>
      <c r="K218" s="391"/>
      <c r="L218" s="391"/>
      <c r="M218" s="391"/>
    </row>
    <row r="219" spans="1:13">
      <c r="A219" s="316" t="str">
        <f>DHWCalc_1!U2</f>
        <v>Error - Test</v>
      </c>
      <c r="B219" s="388" t="e">
        <f>DHWCalc_1!U14</f>
        <v>#VALUE!</v>
      </c>
      <c r="C219" s="313" cm="1">
        <f t="array" aca="1" ref="C219" ca="1">INDIRECT($F219&amp;C$198&amp;"!"&amp;$G219)</f>
        <v>0</v>
      </c>
      <c r="D219" s="313" cm="1">
        <f t="array" aca="1" ref="D219" ca="1">INDIRECT($F219&amp;D$198&amp;"!"&amp;$G219)</f>
        <v>0</v>
      </c>
      <c r="E219" s="389" t="e">
        <f t="shared" si="29"/>
        <v>#VALUE!</v>
      </c>
      <c r="F219" s="314" t="str">
        <f t="shared" ca="1" si="30"/>
        <v>DHWCalc_</v>
      </c>
      <c r="G219" s="314" t="str">
        <f t="shared" ca="1" si="31"/>
        <v>U14</v>
      </c>
      <c r="H219" s="315" t="str">
        <f t="shared" ca="1" si="32"/>
        <v>DHWCalc_1!U14</v>
      </c>
      <c r="I219" s="391"/>
      <c r="K219" s="391"/>
      <c r="L219" s="391"/>
      <c r="M219" s="391"/>
    </row>
    <row r="220" spans="1:13">
      <c r="A220" s="316" t="str">
        <f>DHWCalc_1!V2</f>
        <v>Error - Dwelling</v>
      </c>
      <c r="B220" s="388">
        <f>DHWCalc_1!V14</f>
        <v>1</v>
      </c>
      <c r="C220" s="313" cm="1">
        <f t="array" aca="1" ref="C220" ca="1">INDIRECT($F220&amp;C$198&amp;"!"&amp;$G220)</f>
        <v>1</v>
      </c>
      <c r="D220" s="313" cm="1">
        <f t="array" aca="1" ref="D220" ca="1">INDIRECT($F220&amp;D$198&amp;"!"&amp;$G220)</f>
        <v>1</v>
      </c>
      <c r="E220" s="389">
        <f t="shared" si="29"/>
        <v>1</v>
      </c>
      <c r="F220" s="314" t="str">
        <f t="shared" ca="1" si="30"/>
        <v>DHWCalc_</v>
      </c>
      <c r="G220" s="314" t="str">
        <f t="shared" ca="1" si="31"/>
        <v>V14</v>
      </c>
      <c r="H220" s="315" t="str">
        <f t="shared" ca="1" si="32"/>
        <v>DHWCalc_1!V14</v>
      </c>
      <c r="I220" s="391"/>
      <c r="K220" s="391"/>
      <c r="L220" s="391"/>
      <c r="M220" s="391"/>
    </row>
    <row r="221" spans="1:13" ht="109.9" customHeight="1">
      <c r="A221" s="316" t="s">
        <v>578</v>
      </c>
      <c r="B221" s="392" t="str">
        <f>DHWCalc_1!U16</f>
        <v>WARNING: As the test storage Volume does not meet requirements in Ecodesign Directive, the assessor must contact the manufacturer to advise that test volume is not appropriate for the declared load profile and request revised test results.</v>
      </c>
      <c r="C221" s="313" t="str" cm="1">
        <f t="array" aca="1" ref="C221" ca="1">INDIRECT($F221&amp;C$198&amp;"!"&amp;$G221)</f>
        <v>WARNING: As the test storage Volume does not meet requirements in Ecodesign Directive, the assessor must contact the manufacturer to advise that test volume is not appropriate for the declared load profile and request revised test results.</v>
      </c>
      <c r="D221" s="313" t="str" cm="1">
        <f t="array" aca="1" ref="D221" ca="1">INDIRECT($F221&amp;D$198&amp;"!"&amp;$G221)</f>
        <v>WARNING: As the test storage Volume does not meet requirements in Ecodesign Directive, the assessor must contact the manufacturer to advise that test volume is not appropriate for the declared load profile and request revised test results.</v>
      </c>
      <c r="E221" s="393" t="str">
        <f t="shared" si="29"/>
        <v>WARNING: As the test storage Volume does not meet requirements in Ecodesign Directive, the assessor must contact the manufacturer to advise that test volume is not appropriate for the declared load profile and request revised test results.</v>
      </c>
      <c r="F221" s="314" t="str">
        <f t="shared" ca="1" si="30"/>
        <v>DHWCalc_</v>
      </c>
      <c r="G221" s="314" t="str">
        <f t="shared" ca="1" si="31"/>
        <v>U16</v>
      </c>
      <c r="H221" s="315" t="str">
        <f t="shared" ca="1" si="32"/>
        <v>DHWCalc_1!U16</v>
      </c>
      <c r="I221" s="391"/>
      <c r="K221" s="391"/>
      <c r="L221" s="391"/>
      <c r="M221" s="391"/>
    </row>
    <row r="222" spans="1:13" ht="154.15" customHeight="1">
      <c r="A222" s="316" t="s">
        <v>579</v>
      </c>
      <c r="B222" s="392" t="str">
        <f>DHWCalc_1!V16</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C222" s="313" t="str" cm="1">
        <f t="array" aca="1" ref="C222" ca="1">INDIRECT($F222&amp;C$198&amp;"!"&amp;$G222)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D222" s="313" t="str" cm="1">
        <f t="array" aca="1" ref="D222" ca="1">INDIRECT($F222&amp;D$198&amp;"!"&amp;$G222)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E222" s="393" t="str">
        <f t="shared" si="29"/>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F222" s="314" t="str">
        <f t="shared" ca="1" si="30"/>
        <v>DHWCalc_</v>
      </c>
      <c r="G222" s="314" t="str">
        <f t="shared" ca="1" si="31"/>
        <v>V16</v>
      </c>
      <c r="H222" s="315" t="str">
        <f t="shared" ca="1" si="32"/>
        <v>DHWCalc_1!V16</v>
      </c>
      <c r="I222" s="391"/>
      <c r="K222" s="391"/>
      <c r="L222" s="391"/>
      <c r="M222" s="391"/>
    </row>
    <row r="223" spans="1:13">
      <c r="A223" s="310" t="s">
        <v>582</v>
      </c>
    </row>
    <row r="224" spans="1:13" ht="30">
      <c r="A224" s="316" t="s">
        <v>583</v>
      </c>
      <c r="B224" s="320" t="str">
        <f>SpaceStandardsID_1!A31</f>
        <v>Valid space heat pump type selected.</v>
      </c>
      <c r="C224" s="313" t="str" cm="1">
        <f t="array" aca="1" ref="C224" ca="1">INDIRECT($F224&amp;C$198&amp;"!"&amp;$G224)</f>
        <v>Valid space heat pump type selected.</v>
      </c>
      <c r="D224" s="313" t="str" cm="1">
        <f t="array" aca="1" ref="D224" ca="1">INDIRECT($F224&amp;D$198&amp;"!"&amp;$G224)</f>
        <v>Valid space heat pump type selected.</v>
      </c>
      <c r="E224" s="394" t="str">
        <f>VLOOKUP(A224,A224:D224,$G$1+1,FALSE)</f>
        <v>Valid space heat pump type selected.</v>
      </c>
      <c r="F224" s="395" t="str">
        <f t="shared" ref="F224" ca="1" si="41">LEFT(H224,FIND("1",H224)-1)</f>
        <v>SpaceStandardsID_</v>
      </c>
      <c r="G224" s="314" t="str">
        <f t="shared" ref="G224" ca="1" si="42">RIGHT(H224,LEN(H224)-FIND("!",H224))</f>
        <v>A31</v>
      </c>
      <c r="H224" s="315" t="str">
        <f t="shared" ref="H224" ca="1" si="43">SUBSTITUTE( _xlfn.FORMULATEXT(B224),"=","")</f>
        <v>SpaceStandardsID_1!A31</v>
      </c>
    </row>
    <row r="225" spans="1:8" ht="28.5">
      <c r="A225" s="316" t="s">
        <v>584</v>
      </c>
      <c r="B225" s="320" t="str">
        <f>SpaceStandardsID_1!B31</f>
        <v>Air to Water</v>
      </c>
      <c r="C225" s="313" t="str" cm="1">
        <f t="array" aca="1" ref="C225" ca="1">INDIRECT($F225&amp;C$198&amp;"!"&amp;$G225)</f>
        <v>Air to Water</v>
      </c>
      <c r="D225" s="313" t="str" cm="1">
        <f t="array" aca="1" ref="D225" ca="1">INDIRECT($F225&amp;D$198&amp;"!"&amp;$G225)</f>
        <v>Air to Water</v>
      </c>
      <c r="E225" s="394" t="str">
        <f t="shared" ref="E225:E228" si="44">VLOOKUP(A225,A225:D225,$G$1+1,FALSE)</f>
        <v>Air to Water</v>
      </c>
      <c r="F225" s="395" t="str">
        <f t="shared" ref="F225:F228" ca="1" si="45">LEFT(H225,FIND("1",H225)-1)</f>
        <v>SpaceStandardsID_</v>
      </c>
      <c r="G225" s="314" t="str">
        <f t="shared" ref="G225:G228" ca="1" si="46">RIGHT(H225,LEN(H225)-FIND("!",H225))</f>
        <v>B31</v>
      </c>
      <c r="H225" s="315" t="str">
        <f t="shared" ref="H225:H228" ca="1" si="47">SUBSTITUTE( _xlfn.FORMULATEXT(B225),"=","")</f>
        <v>SpaceStandardsID_1!B31</v>
      </c>
    </row>
    <row r="226" spans="1:8" ht="28.5">
      <c r="A226" s="316" t="s">
        <v>585</v>
      </c>
      <c r="B226" s="320" t="str">
        <f>SpaceStandardsID_1!C31</f>
        <v>Electricity</v>
      </c>
      <c r="C226" s="313" t="str" cm="1">
        <f t="array" aca="1" ref="C226" ca="1">INDIRECT($F226&amp;C$198&amp;"!"&amp;$G226)</f>
        <v>Electricity</v>
      </c>
      <c r="D226" s="313" t="str" cm="1">
        <f t="array" aca="1" ref="D226" ca="1">INDIRECT($F226&amp;D$198&amp;"!"&amp;$G226)</f>
        <v>Electricity</v>
      </c>
      <c r="E226" s="394" t="str">
        <f t="shared" si="44"/>
        <v>Electricity</v>
      </c>
      <c r="F226" s="395" t="str">
        <f t="shared" ca="1" si="45"/>
        <v>SpaceStandardsID_</v>
      </c>
      <c r="G226" s="314" t="str">
        <f t="shared" ca="1" si="46"/>
        <v>C31</v>
      </c>
      <c r="H226" s="315" t="str">
        <f t="shared" ca="1" si="47"/>
        <v>SpaceStandardsID_1!C31</v>
      </c>
    </row>
    <row r="227" spans="1:8" ht="30">
      <c r="A227" s="316" t="s">
        <v>586</v>
      </c>
      <c r="B227" s="320" t="str">
        <f>SpaceStandardsID_1!D31</f>
        <v>Not low temperature heat pump</v>
      </c>
      <c r="C227" s="313" t="str" cm="1">
        <f t="array" aca="1" ref="C227" ca="1">INDIRECT($F227&amp;C$198&amp;"!"&amp;$G227)</f>
        <v>Not low temperature heat pump</v>
      </c>
      <c r="D227" s="313" t="str" cm="1">
        <f t="array" aca="1" ref="D227" ca="1">INDIRECT($F227&amp;D$198&amp;"!"&amp;$G227)</f>
        <v>Not low temperature heat pump</v>
      </c>
      <c r="E227" s="394" t="str">
        <f t="shared" si="44"/>
        <v>Not low temperature heat pump</v>
      </c>
      <c r="F227" s="395" t="str">
        <f t="shared" ca="1" si="45"/>
        <v>SpaceStandardsID_</v>
      </c>
      <c r="G227" s="314" t="str">
        <f t="shared" ca="1" si="46"/>
        <v>D31</v>
      </c>
      <c r="H227" s="315" t="str">
        <f t="shared" ca="1" si="47"/>
        <v>SpaceStandardsID_1!D31</v>
      </c>
    </row>
    <row r="228" spans="1:8" ht="45">
      <c r="A228" s="316" t="s">
        <v>587</v>
      </c>
      <c r="B228" s="320" t="str">
        <f>SpaceStandardsID_1!E31</f>
        <v>Ecodesign applies and/or ecodesign data available</v>
      </c>
      <c r="C228" s="313" t="str" cm="1">
        <f t="array" aca="1" ref="C228" ca="1">INDIRECT($F228&amp;C$198&amp;"!"&amp;$G228)</f>
        <v>Ecodesign applies and/or ecodesign data available</v>
      </c>
      <c r="D228" s="313" t="str" cm="1">
        <f t="array" aca="1" ref="D228" ca="1">INDIRECT($F228&amp;D$198&amp;"!"&amp;$G228)</f>
        <v>Ecodesign applies and/or ecodesign data available</v>
      </c>
      <c r="E228" s="394" t="str">
        <f t="shared" si="44"/>
        <v>Ecodesign applies and/or ecodesign data available</v>
      </c>
      <c r="F228" s="395" t="str">
        <f t="shared" ca="1" si="45"/>
        <v>SpaceStandardsID_</v>
      </c>
      <c r="G228" s="314" t="str">
        <f t="shared" ca="1" si="46"/>
        <v>E31</v>
      </c>
      <c r="H228" s="315" t="str">
        <f t="shared" ca="1" si="47"/>
        <v>SpaceStandardsID_1!E31</v>
      </c>
    </row>
    <row r="229" spans="1:8" ht="84.6" customHeight="1">
      <c r="A229" s="316" t="s">
        <v>588</v>
      </c>
      <c r="B229" s="320" t="str">
        <f>SpaceStandardsID_1!K31</f>
        <v xml:space="preserve">I.S. EN 14825
</v>
      </c>
      <c r="C229" s="313" t="str" cm="1">
        <f t="array" aca="1" ref="C229" ca="1">INDIRECT($F229&amp;C$198&amp;"!"&amp;$G229)</f>
        <v xml:space="preserve">I.S. EN 14825
</v>
      </c>
      <c r="D229" s="313" t="str" cm="1">
        <f t="array" aca="1" ref="D229" ca="1">INDIRECT($F229&amp;D$198&amp;"!"&amp;$G229)</f>
        <v xml:space="preserve">I.S. EN 14825
</v>
      </c>
      <c r="E229" s="394" t="str">
        <f t="shared" ref="E229" si="48">VLOOKUP(A229,A229:D229,$G$1+1,FALSE)</f>
        <v xml:space="preserve">I.S. EN 14825
</v>
      </c>
      <c r="F229" s="395" t="str">
        <f t="shared" ref="F229" ca="1" si="49">LEFT(H229,FIND("1",H229)-1)</f>
        <v>SpaceStandardsID_</v>
      </c>
      <c r="G229" s="314" t="str">
        <f t="shared" ref="G229" ca="1" si="50">RIGHT(H229,LEN(H229)-FIND("!",H229))</f>
        <v>K31</v>
      </c>
      <c r="H229" s="315" t="str">
        <f t="shared" ref="H229" ca="1" si="51">SUBSTITUTE( _xlfn.FORMULATEXT(B229),"=","")</f>
        <v>SpaceStandardsID_1!K31</v>
      </c>
    </row>
    <row r="230" spans="1:8">
      <c r="A230" s="310" t="s">
        <v>589</v>
      </c>
    </row>
    <row r="231" spans="1:8" ht="30">
      <c r="A231" s="316" t="s">
        <v>583</v>
      </c>
      <c r="B231" s="320" t="str">
        <f>WaterStandardsID_1!A17</f>
        <v>Valid water heat pump type selected.</v>
      </c>
      <c r="C231" s="313" t="str" cm="1">
        <f t="array" aca="1" ref="C231" ca="1">INDIRECT($F231&amp;C$198&amp;"!"&amp;$G231)</f>
        <v>Valid water heat pump type selected.</v>
      </c>
      <c r="D231" s="313" t="str" cm="1">
        <f t="array" aca="1" ref="D231" ca="1">INDIRECT($F231&amp;D$198&amp;"!"&amp;$G231)</f>
        <v>Valid water heat pump type selected.</v>
      </c>
      <c r="E231" s="394" t="str">
        <f>VLOOKUP(A231,A231:D231,$G$1+1,FALSE)</f>
        <v>Valid water heat pump type selected.</v>
      </c>
      <c r="F231" s="395" t="str">
        <f t="shared" ref="F231:F235" ca="1" si="52">LEFT(H231,FIND("1",H231)-1)</f>
        <v>WaterStandardsID_</v>
      </c>
      <c r="G231" s="314" t="str">
        <f t="shared" ref="G231:G235" ca="1" si="53">RIGHT(H231,LEN(H231)-FIND("!",H231))</f>
        <v>A17</v>
      </c>
      <c r="H231" s="315" t="str">
        <f t="shared" ref="H231:H235" ca="1" si="54">SUBSTITUTE( _xlfn.FORMULATEXT(B231),"=","")</f>
        <v>WaterStandardsID_1!A17</v>
      </c>
    </row>
    <row r="232" spans="1:8" ht="28.5">
      <c r="A232" s="316" t="s">
        <v>584</v>
      </c>
      <c r="B232" s="320" t="str">
        <f>WaterStandardsID_1!B16</f>
        <v>Air to Water</v>
      </c>
      <c r="C232" s="313" t="str" cm="1">
        <f t="array" aca="1" ref="C232" ca="1">INDIRECT($F232&amp;C$198&amp;"!"&amp;$G232)</f>
        <v>Air to Water</v>
      </c>
      <c r="D232" s="313" t="str" cm="1">
        <f t="array" aca="1" ref="D232" ca="1">INDIRECT($F232&amp;D$198&amp;"!"&amp;$G232)</f>
        <v>Air to Water</v>
      </c>
      <c r="E232" s="394" t="str">
        <f t="shared" ref="E232:E235" si="55">VLOOKUP(A232,A232:D232,$G$1+1,FALSE)</f>
        <v>Air to Water</v>
      </c>
      <c r="F232" s="395" t="str">
        <f t="shared" ca="1" si="52"/>
        <v>WaterStandardsID_</v>
      </c>
      <c r="G232" s="314" t="str">
        <f t="shared" ca="1" si="53"/>
        <v>B16</v>
      </c>
      <c r="H232" s="315" t="str">
        <f t="shared" ca="1" si="54"/>
        <v>WaterStandardsID_1!B16</v>
      </c>
    </row>
    <row r="233" spans="1:8" ht="28.5">
      <c r="A233" s="316" t="s">
        <v>585</v>
      </c>
      <c r="B233" s="320" t="str">
        <f>WaterStandardsID_1!C16</f>
        <v>Electricity</v>
      </c>
      <c r="C233" s="313" t="str" cm="1">
        <f t="array" aca="1" ref="C233" ca="1">INDIRECT($F233&amp;C$198&amp;"!"&amp;$G233)</f>
        <v>Electricity</v>
      </c>
      <c r="D233" s="313" t="str" cm="1">
        <f t="array" aca="1" ref="D233" ca="1">INDIRECT($F233&amp;D$198&amp;"!"&amp;$G233)</f>
        <v>Electricity</v>
      </c>
      <c r="E233" s="394" t="str">
        <f t="shared" si="55"/>
        <v>Electricity</v>
      </c>
      <c r="F233" s="395" t="str">
        <f t="shared" ca="1" si="52"/>
        <v>WaterStandardsID_</v>
      </c>
      <c r="G233" s="314" t="str">
        <f t="shared" ca="1" si="53"/>
        <v>C16</v>
      </c>
      <c r="H233" s="315" t="str">
        <f t="shared" ca="1" si="54"/>
        <v>WaterStandardsID_1!C16</v>
      </c>
    </row>
    <row r="234" spans="1:8" ht="45">
      <c r="A234" s="316" t="s">
        <v>587</v>
      </c>
      <c r="B234" s="396" t="str">
        <f>WaterStandardsID_1!D16</f>
        <v>Ecodesign applies and/or ecodesign data available</v>
      </c>
      <c r="C234" s="313" t="str" cm="1">
        <f t="array" aca="1" ref="C234" ca="1">INDIRECT($F234&amp;C$198&amp;"!"&amp;$G234)</f>
        <v>Ecodesign applies and/or ecodesign data available</v>
      </c>
      <c r="D234" s="313" t="str" cm="1">
        <f t="array" aca="1" ref="D234" ca="1">INDIRECT($F234&amp;D$198&amp;"!"&amp;$G234)</f>
        <v>Ecodesign applies and/or ecodesign data available</v>
      </c>
      <c r="E234" s="394" t="str">
        <f t="shared" si="55"/>
        <v>Ecodesign applies and/or ecodesign data available</v>
      </c>
      <c r="F234" s="395" t="str">
        <f t="shared" ca="1" si="52"/>
        <v>WaterStandardsID_</v>
      </c>
      <c r="G234" s="314" t="str">
        <f t="shared" ca="1" si="53"/>
        <v>D16</v>
      </c>
      <c r="H234" s="315" t="str">
        <f t="shared" ca="1" si="54"/>
        <v>WaterStandardsID_1!D16</v>
      </c>
    </row>
    <row r="235" spans="1:8" ht="90.6" customHeight="1">
      <c r="A235" s="316" t="s">
        <v>588</v>
      </c>
      <c r="B235" s="320" t="str">
        <f>WaterStandardsID_1!J16</f>
        <v>I.S. EN 16147
I.S. EN 14825/14511</v>
      </c>
      <c r="C235" s="313" t="str" cm="1">
        <f t="array" aca="1" ref="C235" ca="1">INDIRECT($F235&amp;C$198&amp;"!"&amp;$G235)</f>
        <v>I.S. EN 16147
I.S. EN 14825/14511</v>
      </c>
      <c r="D235" s="313" t="str" cm="1">
        <f t="array" aca="1" ref="D235" ca="1">INDIRECT($F235&amp;D$198&amp;"!"&amp;$G235)</f>
        <v>I.S. EN 16147
I.S. EN 14825/14511</v>
      </c>
      <c r="E235" s="394" t="str">
        <f t="shared" si="55"/>
        <v>I.S. EN 16147
I.S. EN 14825/14511</v>
      </c>
      <c r="F235" s="395" t="str">
        <f t="shared" ca="1" si="52"/>
        <v>WaterStandardsID_</v>
      </c>
      <c r="G235" s="314" t="str">
        <f t="shared" ca="1" si="53"/>
        <v>J16</v>
      </c>
      <c r="H235" s="315" t="str">
        <f t="shared" ca="1" si="54"/>
        <v>WaterStandardsID_1!J16</v>
      </c>
    </row>
  </sheetData>
  <sheetProtection algorithmName="SHA-512" hashValue="hmErHxROl9I6cmkChjtJar8ujspu5jHv3XBPAPeDF9EBCnNq3YvIkBBv7zaDpgaGeMc8LarpfhyCINX6xhfXpw==" saltValue="L4v0obH1b0k26iPoD303QQ==" spinCount="100000" sheet="1" objects="1" scenarios="1"/>
  <mergeCells count="72">
    <mergeCell ref="A46:A47"/>
    <mergeCell ref="C9:I9"/>
    <mergeCell ref="D94:F94"/>
    <mergeCell ref="D95:F95"/>
    <mergeCell ref="D80:G80"/>
    <mergeCell ref="D90:G90"/>
    <mergeCell ref="D63:F63"/>
    <mergeCell ref="D65:F65"/>
    <mergeCell ref="D66:F66"/>
    <mergeCell ref="D67:F67"/>
    <mergeCell ref="D74:F74"/>
    <mergeCell ref="D75:F75"/>
    <mergeCell ref="D31:F31"/>
    <mergeCell ref="D32:F32"/>
    <mergeCell ref="D64:F64"/>
    <mergeCell ref="A50:A51"/>
    <mergeCell ref="A54:A55"/>
    <mergeCell ref="A58:A59"/>
    <mergeCell ref="D10:F10"/>
    <mergeCell ref="D11:F11"/>
    <mergeCell ref="D12:F12"/>
    <mergeCell ref="D13:F13"/>
    <mergeCell ref="D14:F14"/>
    <mergeCell ref="D16:F16"/>
    <mergeCell ref="D33:F33"/>
    <mergeCell ref="D26:F26"/>
    <mergeCell ref="D27:F27"/>
    <mergeCell ref="D29:F29"/>
    <mergeCell ref="D17:F17"/>
    <mergeCell ref="D42:F42"/>
    <mergeCell ref="D38:F41"/>
    <mergeCell ref="A38:A41"/>
    <mergeCell ref="D2:G2"/>
    <mergeCell ref="D86:F86"/>
    <mergeCell ref="D77:F77"/>
    <mergeCell ref="D69:F69"/>
    <mergeCell ref="D70:F70"/>
    <mergeCell ref="D71:F71"/>
    <mergeCell ref="D72:F72"/>
    <mergeCell ref="D73:F73"/>
    <mergeCell ref="D68:F68"/>
    <mergeCell ref="D81:F81"/>
    <mergeCell ref="D82:F82"/>
    <mergeCell ref="D84:F84"/>
    <mergeCell ref="D85:F85"/>
    <mergeCell ref="G38:G41"/>
    <mergeCell ref="D15:F15"/>
    <mergeCell ref="D3:G3"/>
    <mergeCell ref="C62:I62"/>
    <mergeCell ref="D35:F35"/>
    <mergeCell ref="D4:G4"/>
    <mergeCell ref="D5:G5"/>
    <mergeCell ref="D6:G6"/>
    <mergeCell ref="D7:G7"/>
    <mergeCell ref="D8:G8"/>
    <mergeCell ref="D18:F18"/>
    <mergeCell ref="D19:F19"/>
    <mergeCell ref="D22:F22"/>
    <mergeCell ref="D24:F24"/>
    <mergeCell ref="D25:F25"/>
    <mergeCell ref="D87:F87"/>
    <mergeCell ref="D88:F88"/>
    <mergeCell ref="D89:F89"/>
    <mergeCell ref="D100:F100"/>
    <mergeCell ref="D101:F101"/>
    <mergeCell ref="D96:F96"/>
    <mergeCell ref="D93:F93"/>
    <mergeCell ref="D102:F102"/>
    <mergeCell ref="D106:F106"/>
    <mergeCell ref="D107:F107"/>
    <mergeCell ref="D108:F108"/>
    <mergeCell ref="D109:F109"/>
  </mergeCells>
  <conditionalFormatting sqref="B100:B102">
    <cfRule type="expression" dxfId="185" priority="114" stopIfTrue="1">
      <formula>$B$68&lt;&gt;"I.S. EN 255-3"</formula>
    </cfRule>
  </conditionalFormatting>
  <conditionalFormatting sqref="B33:B36">
    <cfRule type="expression" dxfId="184" priority="107">
      <formula>$B$32="No"</formula>
    </cfRule>
  </conditionalFormatting>
  <conditionalFormatting sqref="B75:B78">
    <cfRule type="expression" dxfId="183" priority="108" stopIfTrue="1">
      <formula>$B$74="No"</formula>
    </cfRule>
  </conditionalFormatting>
  <conditionalFormatting sqref="A38:G59">
    <cfRule type="expression" dxfId="182" priority="109">
      <formula>OR($B$14="I.S. EN 14511")</formula>
    </cfRule>
  </conditionalFormatting>
  <conditionalFormatting sqref="B92:B96">
    <cfRule type="expression" dxfId="181" priority="113" stopIfTrue="1">
      <formula>AND($B$14&lt;&gt;"I.S. EN 14511",$B$68&lt;&gt;"I.S. EN 14511")</formula>
    </cfRule>
  </conditionalFormatting>
  <conditionalFormatting sqref="B13">
    <cfRule type="expression" dxfId="180" priority="117" stopIfTrue="1">
      <formula>$B$14="I.S. EN 14511"</formula>
    </cfRule>
  </conditionalFormatting>
  <conditionalFormatting sqref="B14">
    <cfRule type="expression" dxfId="179" priority="118" stopIfTrue="1">
      <formula>#REF!="Domestic Hot Water"</formula>
    </cfRule>
  </conditionalFormatting>
  <conditionalFormatting sqref="B32:F36 B15:B16">
    <cfRule type="expression" dxfId="178" priority="119">
      <formula>OR($B$14="I.S. EN 14511")</formula>
    </cfRule>
  </conditionalFormatting>
  <conditionalFormatting sqref="B74 B70">
    <cfRule type="expression" dxfId="177" priority="120" stopIfTrue="1">
      <formula>OR(#REF!="Space Heating")</formula>
    </cfRule>
  </conditionalFormatting>
  <conditionalFormatting sqref="C48:G51">
    <cfRule type="expression" dxfId="176" priority="104">
      <formula>$C$40="No"</formula>
    </cfRule>
  </conditionalFormatting>
  <conditionalFormatting sqref="B19">
    <cfRule type="expression" dxfId="175" priority="123" stopIfTrue="1">
      <formula>#REF!="Domestic Hot Water"</formula>
    </cfRule>
  </conditionalFormatting>
  <conditionalFormatting sqref="B73">
    <cfRule type="expression" dxfId="174" priority="124" stopIfTrue="1">
      <formula>OR(#REF!="Space Heating",#REF!="I.S. EN 14511",#REF!="I.S. EN 255-3",$B$70="No Hot Water Store")</formula>
    </cfRule>
  </conditionalFormatting>
  <conditionalFormatting sqref="B73">
    <cfRule type="expression" dxfId="173" priority="125" stopIfTrue="1">
      <formula>OR(#REF!="I.S. EN 14511",#REF!="I.S. EN 255-3",#REF!="Space heating",$B$70="No Hot Water Store")</formula>
    </cfRule>
  </conditionalFormatting>
  <conditionalFormatting sqref="B29">
    <cfRule type="expression" dxfId="172" priority="126" stopIfTrue="1">
      <formula>AND($B$14="I.S. EN 14511",$B$68="I.S. EN 14511")</formula>
    </cfRule>
  </conditionalFormatting>
  <conditionalFormatting sqref="B83:B89">
    <cfRule type="expression" dxfId="171" priority="127" stopIfTrue="1">
      <formula>OR($B$68="I.S. EN 255-3",$B$68="I.S. EN 14511")</formula>
    </cfRule>
  </conditionalFormatting>
  <conditionalFormatting sqref="D91:F97 D90">
    <cfRule type="expression" dxfId="170" priority="103">
      <formula>OR(#REF!="Space heating",#REF!="I.S. EN 14511",#REF!="I.S. EN 255-3")</formula>
    </cfRule>
  </conditionalFormatting>
  <conditionalFormatting sqref="B74">
    <cfRule type="expression" dxfId="169" priority="102">
      <formula>#REF!="I.S. EN 14511"</formula>
    </cfRule>
  </conditionalFormatting>
  <conditionalFormatting sqref="B82">
    <cfRule type="expression" dxfId="168" priority="101" stopIfTrue="1">
      <formula>OR($B$68="I.S. EN 255-3",$B$68="I.S. EN 14511")</formula>
    </cfRule>
  </conditionalFormatting>
  <conditionalFormatting sqref="B81">
    <cfRule type="expression" dxfId="167" priority="100">
      <formula>OR($B$68="I.S. EN 255-3",$B$68="I.S. EN 14511")</formula>
    </cfRule>
  </conditionalFormatting>
  <conditionalFormatting sqref="B66">
    <cfRule type="expression" dxfId="166" priority="96" stopIfTrue="1">
      <formula>$B$14="I.S. EN 14511"</formula>
    </cfRule>
  </conditionalFormatting>
  <conditionalFormatting sqref="B68">
    <cfRule type="expression" dxfId="165" priority="99" stopIfTrue="1">
      <formula>#REF!="Space heating"</formula>
    </cfRule>
  </conditionalFormatting>
  <conditionalFormatting sqref="B17">
    <cfRule type="expression" dxfId="164" priority="95" stopIfTrue="1">
      <formula>OR($B$14="I.S. EN 14511",#REF!="Domestic Hot Water")</formula>
    </cfRule>
  </conditionalFormatting>
  <conditionalFormatting sqref="B69">
    <cfRule type="expression" dxfId="163" priority="94" stopIfTrue="1">
      <formula>OR($B$14="I.S. EN 14511",#REF!="Domestic Hot Water")</formula>
    </cfRule>
  </conditionalFormatting>
  <conditionalFormatting sqref="C56:G59">
    <cfRule type="expression" dxfId="162" priority="93">
      <formula>$C$41="No"</formula>
    </cfRule>
  </conditionalFormatting>
  <conditionalFormatting sqref="C9 A37:G38 A10:I36 A39:I61">
    <cfRule type="expression" dxfId="161" priority="91">
      <formula>$N$10=FALSE</formula>
    </cfRule>
  </conditionalFormatting>
  <conditionalFormatting sqref="A99:I102 C62 A69:H69 A63:I68 A70:I90">
    <cfRule type="expression" dxfId="160" priority="90">
      <formula>$N$11=FALSE</formula>
    </cfRule>
  </conditionalFormatting>
  <conditionalFormatting sqref="B8">
    <cfRule type="expression" dxfId="159" priority="81" stopIfTrue="1">
      <formula>OR($B$14="I.S. EN 14511")</formula>
    </cfRule>
  </conditionalFormatting>
  <conditionalFormatting sqref="A8:G8">
    <cfRule type="expression" dxfId="158" priority="79">
      <formula>$B$5="No"</formula>
    </cfRule>
  </conditionalFormatting>
  <conditionalFormatting sqref="C38">
    <cfRule type="expression" dxfId="157" priority="78">
      <formula>OR($B$14="I.S. EN 14511")</formula>
    </cfRule>
  </conditionalFormatting>
  <conditionalFormatting sqref="D38:G41 A38:A41 C42 B42:B43 A45:A47 A49:A55 A57:A59">
    <cfRule type="expression" dxfId="156" priority="77">
      <formula>OR($G$25=$T$3,$B$27=$P$2)</formula>
    </cfRule>
  </conditionalFormatting>
  <conditionalFormatting sqref="A56">
    <cfRule type="expression" dxfId="155" priority="63">
      <formula>$N$10=FALSE</formula>
    </cfRule>
  </conditionalFormatting>
  <conditionalFormatting sqref="A66">
    <cfRule type="expression" dxfId="154" priority="52">
      <formula>$N$11=FALSE</formula>
    </cfRule>
  </conditionalFormatting>
  <conditionalFormatting sqref="B63:B64">
    <cfRule type="expression" dxfId="153" priority="51">
      <formula>$N$10=FALSE</formula>
    </cfRule>
  </conditionalFormatting>
  <conditionalFormatting sqref="C9:I9">
    <cfRule type="containsText" dxfId="152" priority="46" operator="containsText" text="Error">
      <formula>NOT(ISERROR(SEARCH("Error",C9)))</formula>
    </cfRule>
  </conditionalFormatting>
  <conditionalFormatting sqref="C62:I62">
    <cfRule type="containsText" dxfId="151" priority="45" operator="containsText" text="ERROR">
      <formula>NOT(ISERROR(SEARCH("ERROR",C62)))</formula>
    </cfRule>
  </conditionalFormatting>
  <conditionalFormatting sqref="B16">
    <cfRule type="expression" dxfId="150" priority="43">
      <formula>($B$24="Yesnextversion")</formula>
    </cfRule>
  </conditionalFormatting>
  <conditionalFormatting sqref="J37">
    <cfRule type="expression" dxfId="149" priority="42">
      <formula>OR($B$14="I.S. EN 14511")</formula>
    </cfRule>
  </conditionalFormatting>
  <conditionalFormatting sqref="J37">
    <cfRule type="expression" dxfId="148" priority="41">
      <formula>$N$10=FALSE</formula>
    </cfRule>
  </conditionalFormatting>
  <conditionalFormatting sqref="J38">
    <cfRule type="expression" dxfId="147" priority="40">
      <formula>OR($B$14="I.S. EN 14511")</formula>
    </cfRule>
  </conditionalFormatting>
  <conditionalFormatting sqref="J38">
    <cfRule type="expression" dxfId="146" priority="39">
      <formula>$N$10=FALSE</formula>
    </cfRule>
  </conditionalFormatting>
  <conditionalFormatting sqref="J39">
    <cfRule type="expression" dxfId="145" priority="38">
      <formula>OR($B$14="I.S. EN 14511")</formula>
    </cfRule>
  </conditionalFormatting>
  <conditionalFormatting sqref="J39">
    <cfRule type="expression" dxfId="144" priority="37">
      <formula>$N$10=FALSE</formula>
    </cfRule>
  </conditionalFormatting>
  <conditionalFormatting sqref="H37">
    <cfRule type="expression" dxfId="143" priority="36">
      <formula>OR($B$14="I.S. EN 14511")</formula>
    </cfRule>
  </conditionalFormatting>
  <conditionalFormatting sqref="H37">
    <cfRule type="expression" dxfId="142" priority="35">
      <formula>$N$10=FALSE</formula>
    </cfRule>
  </conditionalFormatting>
  <conditionalFormatting sqref="I37">
    <cfRule type="expression" dxfId="141" priority="34">
      <formula>OR($B$14="I.S. EN 14511")</formula>
    </cfRule>
  </conditionalFormatting>
  <conditionalFormatting sqref="I37">
    <cfRule type="expression" dxfId="140" priority="33">
      <formula>$N$10=FALSE</formula>
    </cfRule>
  </conditionalFormatting>
  <conditionalFormatting sqref="H38">
    <cfRule type="expression" dxfId="139" priority="32">
      <formula>OR($B$14="I.S. EN 14511")</formula>
    </cfRule>
  </conditionalFormatting>
  <conditionalFormatting sqref="H38">
    <cfRule type="expression" dxfId="138" priority="31">
      <formula>$N$10=FALSE</formula>
    </cfRule>
  </conditionalFormatting>
  <conditionalFormatting sqref="I38">
    <cfRule type="expression" dxfId="137" priority="30">
      <formula>OR($B$14="I.S. EN 14511")</formula>
    </cfRule>
  </conditionalFormatting>
  <conditionalFormatting sqref="I38">
    <cfRule type="expression" dxfId="136" priority="29">
      <formula>$N$10=FALSE</formula>
    </cfRule>
  </conditionalFormatting>
  <conditionalFormatting sqref="J40">
    <cfRule type="expression" dxfId="135" priority="28">
      <formula>OR($B$14="I.S. EN 14511")</formula>
    </cfRule>
  </conditionalFormatting>
  <conditionalFormatting sqref="J40">
    <cfRule type="expression" dxfId="134" priority="27">
      <formula>$N$10=FALSE</formula>
    </cfRule>
  </conditionalFormatting>
  <conditionalFormatting sqref="J41">
    <cfRule type="expression" dxfId="133" priority="26">
      <formula>OR($B$14="I.S. EN 14511")</formula>
    </cfRule>
  </conditionalFormatting>
  <conditionalFormatting sqref="J41">
    <cfRule type="expression" dxfId="132" priority="25">
      <formula>$N$10=FALSE</formula>
    </cfRule>
  </conditionalFormatting>
  <conditionalFormatting sqref="D14:F14">
    <cfRule type="containsText" dxfId="131" priority="24" operator="containsText" text="ERROR">
      <formula>NOT(ISERROR(SEARCH("ERROR",D14)))</formula>
    </cfRule>
  </conditionalFormatting>
  <conditionalFormatting sqref="D68:F68">
    <cfRule type="containsText" dxfId="130" priority="23" operator="containsText" text="ERROR">
      <formula>NOT(ISERROR(SEARCH("ERROR",D68)))</formula>
    </cfRule>
  </conditionalFormatting>
  <conditionalFormatting sqref="I68">
    <cfRule type="expression" dxfId="129" priority="22" stopIfTrue="1">
      <formula>OR($B$14="I.S. EN 14511",#REF!="Domestic Hot Water")</formula>
    </cfRule>
  </conditionalFormatting>
  <conditionalFormatting sqref="J67">
    <cfRule type="expression" dxfId="128" priority="21">
      <formula>$N$11=FALSE</formula>
    </cfRule>
  </conditionalFormatting>
  <conditionalFormatting sqref="J68">
    <cfRule type="expression" dxfId="127" priority="20" stopIfTrue="1">
      <formula>OR($B$14="I.S. EN 14511",#REF!="Domestic Hot Water")</formula>
    </cfRule>
  </conditionalFormatting>
  <conditionalFormatting sqref="J68">
    <cfRule type="expression" dxfId="126" priority="19">
      <formula>$N$11=FALSE</formula>
    </cfRule>
  </conditionalFormatting>
  <conditionalFormatting sqref="C52:G55">
    <cfRule type="expression" dxfId="125" priority="12">
      <formula>$C$38="No"</formula>
    </cfRule>
  </conditionalFormatting>
  <conditionalFormatting sqref="C44:G47">
    <cfRule type="expression" dxfId="124" priority="8">
      <formula>$C$39="No"</formula>
    </cfRule>
  </conditionalFormatting>
  <dataValidations count="18">
    <dataValidation type="list" allowBlank="1" showInputMessage="1" showErrorMessage="1" sqref="B81" xr:uid="{00000000-0002-0000-1200-000000000000}">
      <formula1>$AR$1:$AR$2</formula1>
    </dataValidation>
    <dataValidation type="list" allowBlank="1" showInputMessage="1" showErrorMessage="1" sqref="B87" xr:uid="{00000000-0002-0000-1200-000001000000}">
      <formula1>$AL$1:$AL$11</formula1>
    </dataValidation>
    <dataValidation type="list" allowBlank="1" showInputMessage="1" showErrorMessage="1" sqref="B29" xr:uid="{00000000-0002-0000-1200-000002000000}">
      <formula1>$AP$1:$AP$3</formula1>
    </dataValidation>
    <dataValidation type="list" allowBlank="1" showInputMessage="1" showErrorMessage="1" sqref="B70" xr:uid="{00000000-0002-0000-1200-000005000000}">
      <formula1>$AG$1:$AG$4</formula1>
    </dataValidation>
    <dataValidation type="list" allowBlank="1" showInputMessage="1" showErrorMessage="1" sqref="B33 B75" xr:uid="{00000000-0002-0000-1200-000006000000}">
      <formula1>$W$2:$W$12</formula1>
    </dataValidation>
    <dataValidation type="list" allowBlank="1" showInputMessage="1" showErrorMessage="1" sqref="B13 B66" xr:uid="{00000000-0002-0000-1200-000007000000}">
      <formula1>$Z$1:$Z$2</formula1>
    </dataValidation>
    <dataValidation type="list" allowBlank="1" showInputMessage="1" showErrorMessage="1" sqref="B67" xr:uid="{00000000-0002-0000-1200-000009000000}">
      <formula1>$P$2:$P$3</formula1>
    </dataValidation>
    <dataValidation type="decimal" allowBlank="1" showInputMessage="1" showErrorMessage="1" errorTitle="Design Flow Temperature" error="The design flow temperature must be between 20oC and 65oC" sqref="B25" xr:uid="{00000000-0002-0000-1200-00000A000000}">
      <formula1>20</formula1>
      <formula2>65</formula2>
    </dataValidation>
    <dataValidation allowBlank="1" showInputMessage="1" showErrorMessage="1" errorTitle="Design Flow Temperature" error="The design flow temperature must be between 35oC and 55oC" sqref="B20" xr:uid="{00000000-0002-0000-1200-00000B000000}"/>
    <dataValidation type="list" allowBlank="1" showInputMessage="1" showErrorMessage="1" sqref="B94:B96 B32 B92 C38:C41 B74 B21:B23" xr:uid="{00000000-0002-0000-1200-00000C000000}">
      <formula1>$AB$1:$AB$2</formula1>
    </dataValidation>
    <dataValidation type="list" allowBlank="1" showInputMessage="1" showErrorMessage="1" sqref="G12" xr:uid="{1079BFE9-1D3C-4653-99D7-AB6C9E6E5E46}">
      <formula1>$T$2:$T$3</formula1>
    </dataValidation>
    <dataValidation type="list" allowBlank="1" showInputMessage="1" showErrorMessage="1" sqref="G11 G63" xr:uid="{00457EBA-2A39-4227-BE01-70A5A9DF2A3A}">
      <formula1>$Q$2:$Q$3</formula1>
    </dataValidation>
    <dataValidation type="list" allowBlank="1" showInputMessage="1" showErrorMessage="1" sqref="G10" xr:uid="{DB389249-DC91-4BA0-ACFB-4F4E4B731A14}">
      <formula1>$R$1:$R$2</formula1>
    </dataValidation>
    <dataValidation type="list" allowBlank="1" showInputMessage="1" showErrorMessage="1" sqref="B65" xr:uid="{DA8DF2D7-E373-43ED-85C7-38B3FCD605A6}">
      <formula1>$S$1:$S$5</formula1>
    </dataValidation>
    <dataValidation type="list" allowBlank="1" showInputMessage="1" showErrorMessage="1" sqref="B12" xr:uid="{D63A4045-F937-4243-B7A3-F97677486ADA}">
      <formula1>$S$1:$S$9</formula1>
    </dataValidation>
    <dataValidation type="list" allowBlank="1" showInputMessage="1" showErrorMessage="1" sqref="B68" xr:uid="{00000000-0002-0000-1200-000004000000}">
      <formula1>$N$4:$N$8</formula1>
    </dataValidation>
    <dataValidation type="list" allowBlank="1" showInputMessage="1" showErrorMessage="1" sqref="B14" xr:uid="{00000000-0002-0000-1200-000008000000}">
      <formula1>$N$1:$N$4</formula1>
    </dataValidation>
    <dataValidation type="list" allowBlank="1" showInputMessage="1" showErrorMessage="1" sqref="G64" xr:uid="{1204AC42-51C6-4C3E-98D8-3CD493574700}">
      <formula1>$T$2:$T$2</formula1>
    </dataValidation>
  </dataValidations>
  <pageMargins left="0.75" right="0.75" top="1" bottom="1" header="0.5" footer="0.5"/>
  <pageSetup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3707-AF24-40D6-B733-4EA38AB8B7D5}">
  <dimension ref="A1:FA235"/>
  <sheetViews>
    <sheetView zoomScale="70" zoomScaleNormal="70" workbookViewId="0">
      <selection activeCell="C58" sqref="C58"/>
    </sheetView>
  </sheetViews>
  <sheetFormatPr defaultColWidth="9.140625" defaultRowHeight="15.75"/>
  <cols>
    <col min="1" max="1" width="68.28515625" style="34" customWidth="1"/>
    <col min="2" max="2" width="46" style="34" customWidth="1"/>
    <col min="3" max="3" width="23.28515625" style="34" customWidth="1"/>
    <col min="4" max="4" width="18.7109375" style="37" customWidth="1"/>
    <col min="5" max="5" width="20.85546875" style="37" customWidth="1"/>
    <col min="6" max="6" width="15.7109375" style="37" customWidth="1"/>
    <col min="7" max="7" width="51.5703125" style="34" customWidth="1"/>
    <col min="8" max="8" width="27.28515625" style="35" customWidth="1"/>
    <col min="9" max="9" width="25.7109375" style="566" customWidth="1"/>
    <col min="10" max="10" width="27.85546875" style="38" customWidth="1"/>
    <col min="11" max="13" width="25.7109375" style="566" customWidth="1"/>
    <col min="14" max="14" width="29.140625" style="34" bestFit="1" customWidth="1"/>
    <col min="15" max="15" width="9.140625" style="34"/>
    <col min="16" max="16" width="42.28515625" style="34" bestFit="1" customWidth="1"/>
    <col min="17" max="17" width="20.28515625" style="34" bestFit="1" customWidth="1"/>
    <col min="18" max="18" width="38.28515625" style="34" customWidth="1"/>
    <col min="19" max="19" width="24.28515625" style="34" bestFit="1" customWidth="1"/>
    <col min="20" max="20" width="33" style="34" bestFit="1" customWidth="1"/>
    <col min="21" max="21" width="40.5703125" style="34" bestFit="1" customWidth="1"/>
    <col min="22" max="22" width="9.140625" style="34"/>
    <col min="23" max="23" width="35.5703125" style="34" customWidth="1"/>
    <col min="24" max="25" width="9.140625" style="34"/>
    <col min="26" max="26" width="17.140625" style="34" bestFit="1" customWidth="1"/>
    <col min="27" max="29" width="9.140625" style="34"/>
    <col min="30" max="30" width="26.7109375" style="34" bestFit="1" customWidth="1"/>
    <col min="31" max="31" width="16.85546875" style="34" customWidth="1"/>
    <col min="32" max="32" width="9.140625" style="34"/>
    <col min="33" max="33" width="44.5703125" style="34" bestFit="1" customWidth="1"/>
    <col min="34" max="38" width="9.140625" style="34"/>
    <col min="39" max="39" width="9.5703125" style="34" bestFit="1" customWidth="1"/>
    <col min="40" max="40" width="9.85546875" style="34" customWidth="1"/>
    <col min="41" max="41" width="9.140625" style="34"/>
    <col min="42" max="42" width="3.7109375" style="34" bestFit="1" customWidth="1"/>
    <col min="43" max="43" width="9.140625" style="34"/>
    <col min="44" max="44" width="41.28515625" style="34" bestFit="1" customWidth="1"/>
    <col min="45" max="16384" width="9.140625" style="34"/>
  </cols>
  <sheetData>
    <row r="1" spans="1:157" ht="24.75" customHeight="1" thickBot="1">
      <c r="A1" s="8" t="s">
        <v>53</v>
      </c>
      <c r="B1" s="8"/>
      <c r="C1" s="8"/>
      <c r="D1" s="125"/>
      <c r="E1" s="125"/>
      <c r="F1" s="292" t="s">
        <v>509</v>
      </c>
      <c r="G1" s="293">
        <v>2</v>
      </c>
      <c r="H1" s="125"/>
      <c r="I1" s="125"/>
      <c r="J1" s="48"/>
      <c r="K1" s="47"/>
      <c r="L1" s="48"/>
      <c r="M1" s="47"/>
      <c r="N1" s="152" t="s">
        <v>54</v>
      </c>
      <c r="O1" s="158" t="s">
        <v>37</v>
      </c>
      <c r="P1" s="160" t="s">
        <v>48</v>
      </c>
      <c r="Q1" s="180" t="s">
        <v>386</v>
      </c>
      <c r="R1" s="159" t="s">
        <v>387</v>
      </c>
      <c r="S1" s="158" t="s">
        <v>55</v>
      </c>
      <c r="T1" s="163" t="s">
        <v>389</v>
      </c>
      <c r="U1" s="166" t="s">
        <v>56</v>
      </c>
      <c r="V1" s="43"/>
      <c r="W1" s="169" t="s">
        <v>47</v>
      </c>
      <c r="X1" s="170"/>
      <c r="Y1" s="43"/>
      <c r="Z1" s="158" t="s">
        <v>57</v>
      </c>
      <c r="AA1" s="43"/>
      <c r="AB1" s="158" t="s">
        <v>37</v>
      </c>
      <c r="AC1" s="43"/>
      <c r="AD1" s="151" t="s">
        <v>418</v>
      </c>
      <c r="AE1" s="151" t="s">
        <v>438</v>
      </c>
      <c r="AF1" s="43"/>
      <c r="AG1" s="158" t="s">
        <v>58</v>
      </c>
      <c r="AH1" s="43"/>
      <c r="AI1" s="43"/>
      <c r="AJ1" s="43"/>
      <c r="AK1" s="43"/>
      <c r="AL1" s="176" t="s">
        <v>59</v>
      </c>
      <c r="AM1" s="179" t="s">
        <v>60</v>
      </c>
      <c r="AN1" s="170">
        <f>IF(OR(B14=N1,B14=N2),IF(D24="",0,1),0)</f>
        <v>0</v>
      </c>
      <c r="AO1" s="43"/>
      <c r="AP1" s="158">
        <v>8</v>
      </c>
      <c r="AQ1" s="43"/>
      <c r="AR1" s="158" t="s">
        <v>61</v>
      </c>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row>
    <row r="2" spans="1:157" ht="36.6" customHeight="1" thickBot="1">
      <c r="A2" s="131" t="s">
        <v>340</v>
      </c>
      <c r="B2" s="131" t="s">
        <v>341</v>
      </c>
      <c r="C2" s="131" t="s">
        <v>342</v>
      </c>
      <c r="D2" s="745" t="s">
        <v>343</v>
      </c>
      <c r="E2" s="745"/>
      <c r="F2" s="745"/>
      <c r="G2" s="745"/>
      <c r="H2" s="45"/>
      <c r="I2" s="132"/>
      <c r="J2" s="44"/>
      <c r="K2" s="41"/>
      <c r="L2" s="41"/>
      <c r="M2" s="41"/>
      <c r="N2" s="153" t="s">
        <v>393</v>
      </c>
      <c r="O2" s="157" t="s">
        <v>38</v>
      </c>
      <c r="P2" s="161" t="s">
        <v>348</v>
      </c>
      <c r="Q2" s="182" t="s">
        <v>44</v>
      </c>
      <c r="R2" s="193" t="s">
        <v>383</v>
      </c>
      <c r="S2" s="156" t="s">
        <v>63</v>
      </c>
      <c r="T2" s="164" t="s">
        <v>385</v>
      </c>
      <c r="U2" s="167" t="s">
        <v>64</v>
      </c>
      <c r="V2" s="43"/>
      <c r="W2" s="171" t="s">
        <v>44</v>
      </c>
      <c r="X2" s="302">
        <f>DEAPEntries!B11</f>
        <v>2.08</v>
      </c>
      <c r="Y2" s="43"/>
      <c r="Z2" s="157" t="s">
        <v>65</v>
      </c>
      <c r="AA2" s="43"/>
      <c r="AB2" s="157" t="s">
        <v>38</v>
      </c>
      <c r="AC2" s="43"/>
      <c r="AD2" s="156" t="s">
        <v>66</v>
      </c>
      <c r="AE2" s="195" t="str">
        <f>SUBSTITUTE(AD2," Temperature","")</f>
        <v>Low</v>
      </c>
      <c r="AF2" s="43"/>
      <c r="AG2" s="156" t="s">
        <v>67</v>
      </c>
      <c r="AH2" s="43"/>
      <c r="AI2" s="43"/>
      <c r="AJ2" s="43"/>
      <c r="AK2" s="43"/>
      <c r="AL2" s="177" t="s">
        <v>68</v>
      </c>
      <c r="AM2" s="173"/>
      <c r="AN2" s="172">
        <f>IF(OR(B14=N1,B14=N2),IF(D42="",0,1),0)</f>
        <v>0</v>
      </c>
      <c r="AO2" s="43"/>
      <c r="AP2" s="156">
        <v>16</v>
      </c>
      <c r="AQ2" s="43"/>
      <c r="AR2" s="157" t="s">
        <v>69</v>
      </c>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row>
    <row r="3" spans="1:157" ht="35.25" customHeight="1" thickBot="1">
      <c r="A3" s="406" t="s">
        <v>70</v>
      </c>
      <c r="B3" s="407">
        <f>DEAPEntries!B3</f>
        <v>0</v>
      </c>
      <c r="C3" s="458" t="s">
        <v>71</v>
      </c>
      <c r="D3" s="739" t="str">
        <f>DEAPEntries!F3</f>
        <v>Sourced from DEAP  "results" tab (or DEAP workbook Fab tab). This is the sum of heat losses from fabric + ventilation + windows</v>
      </c>
      <c r="E3" s="739"/>
      <c r="F3" s="739"/>
      <c r="G3" s="739"/>
      <c r="H3" s="45"/>
      <c r="I3" s="41"/>
      <c r="J3" s="44"/>
      <c r="K3" s="41"/>
      <c r="L3" s="41"/>
      <c r="M3" s="41"/>
      <c r="N3" s="153" t="s">
        <v>484</v>
      </c>
      <c r="O3" s="43"/>
      <c r="P3" s="162" t="s">
        <v>349</v>
      </c>
      <c r="Q3" s="181" t="s">
        <v>388</v>
      </c>
      <c r="R3" s="43"/>
      <c r="S3" s="156" t="s">
        <v>73</v>
      </c>
      <c r="T3" s="165" t="s">
        <v>391</v>
      </c>
      <c r="U3" s="167" t="s">
        <v>74</v>
      </c>
      <c r="V3" s="43"/>
      <c r="W3" s="171" t="s">
        <v>75</v>
      </c>
      <c r="X3" s="172">
        <v>1.1000000000000001</v>
      </c>
      <c r="Y3" s="43"/>
      <c r="Z3" s="43"/>
      <c r="AA3" s="43"/>
      <c r="AB3" s="43"/>
      <c r="AC3" s="43"/>
      <c r="AD3" s="156" t="s">
        <v>144</v>
      </c>
      <c r="AE3" s="195" t="str">
        <f t="shared" ref="AE3:AE5" si="0">SUBSTITUTE(AD3," Temperature","")</f>
        <v>Medium</v>
      </c>
      <c r="AF3" s="43"/>
      <c r="AG3" s="156" t="s">
        <v>77</v>
      </c>
      <c r="AH3" s="43"/>
      <c r="AI3" s="43"/>
      <c r="AJ3" s="43"/>
      <c r="AK3" s="43"/>
      <c r="AL3" s="177" t="s">
        <v>78</v>
      </c>
      <c r="AN3" s="172">
        <f ca="1">IF(ISNUMBER(SEARCH("ERROR",C9&amp;C62&amp;D14&amp;D68&amp;G18)),1,0)</f>
        <v>0</v>
      </c>
      <c r="AO3" s="43"/>
      <c r="AP3" s="157">
        <v>24</v>
      </c>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row>
    <row r="4" spans="1:157" ht="39" customHeight="1" thickBot="1">
      <c r="A4" s="408" t="s">
        <v>79</v>
      </c>
      <c r="B4" s="409" t="str">
        <f>IFERROR(IF(B5="No",(B3*B6*(B19-B18)),(B3*B6/B7)*B8*(B19-B18)),"Please complete DEAPEntries tab")</f>
        <v>Please complete DEAPEntries tab</v>
      </c>
      <c r="C4" s="458" t="s">
        <v>80</v>
      </c>
      <c r="D4" s="739" t="s">
        <v>517</v>
      </c>
      <c r="E4" s="739"/>
      <c r="F4" s="739"/>
      <c r="G4" s="739"/>
      <c r="H4" s="45"/>
      <c r="I4" s="41"/>
      <c r="J4" s="44"/>
      <c r="K4" s="41"/>
      <c r="L4" s="41"/>
      <c r="M4" s="41"/>
      <c r="N4" s="153" t="s">
        <v>486</v>
      </c>
      <c r="O4" s="43"/>
      <c r="P4" s="43"/>
      <c r="Q4" s="43"/>
      <c r="R4" s="43"/>
      <c r="S4" s="156" t="s">
        <v>82</v>
      </c>
      <c r="T4" s="43"/>
      <c r="U4" s="167" t="s">
        <v>83</v>
      </c>
      <c r="V4" s="43"/>
      <c r="W4" s="171" t="s">
        <v>84</v>
      </c>
      <c r="X4" s="172">
        <v>1.1000000000000001</v>
      </c>
      <c r="Y4" s="43"/>
      <c r="Z4" s="43"/>
      <c r="AA4" s="43"/>
      <c r="AB4" s="43"/>
      <c r="AC4" s="43"/>
      <c r="AD4" s="156" t="s">
        <v>76</v>
      </c>
      <c r="AE4" s="195" t="str">
        <f t="shared" si="0"/>
        <v>High</v>
      </c>
      <c r="AF4" s="43"/>
      <c r="AG4" s="157" t="s">
        <v>85</v>
      </c>
      <c r="AH4" s="43"/>
      <c r="AI4" s="43"/>
      <c r="AJ4" s="43"/>
      <c r="AK4" s="43"/>
      <c r="AL4" s="177" t="s">
        <v>86</v>
      </c>
      <c r="AM4" s="174"/>
      <c r="AN4" s="175">
        <f ca="1">SUM(AN1:AN3)</f>
        <v>0</v>
      </c>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row>
    <row r="5" spans="1:157" ht="45.6" customHeight="1" thickBot="1">
      <c r="A5" s="408" t="s">
        <v>520</v>
      </c>
      <c r="B5" s="410" t="str">
        <f>E194</f>
        <v>No</v>
      </c>
      <c r="C5" s="458"/>
      <c r="D5" s="739"/>
      <c r="E5" s="739"/>
      <c r="F5" s="739"/>
      <c r="G5" s="739"/>
      <c r="H5" s="45"/>
      <c r="I5" s="41"/>
      <c r="J5" s="44"/>
      <c r="K5" s="41"/>
      <c r="L5" s="41"/>
      <c r="M5" s="41"/>
      <c r="N5" s="153" t="s">
        <v>81</v>
      </c>
      <c r="O5" s="43"/>
      <c r="P5" s="43"/>
      <c r="Q5" s="43"/>
      <c r="R5" s="43"/>
      <c r="S5" s="156" t="s">
        <v>392</v>
      </c>
      <c r="T5" s="43"/>
      <c r="U5" s="168" t="s">
        <v>89</v>
      </c>
      <c r="V5" s="43"/>
      <c r="W5" s="171" t="s">
        <v>90</v>
      </c>
      <c r="X5" s="172">
        <v>1.1000000000000001</v>
      </c>
      <c r="Y5" s="43"/>
      <c r="Z5" s="43"/>
      <c r="AA5" s="43"/>
      <c r="AB5" s="43"/>
      <c r="AC5" s="43"/>
      <c r="AD5" s="157" t="s">
        <v>437</v>
      </c>
      <c r="AE5" s="196" t="str">
        <f t="shared" si="0"/>
        <v>Very high</v>
      </c>
      <c r="AF5" s="43"/>
      <c r="AG5" s="43"/>
      <c r="AH5" s="43"/>
      <c r="AI5" s="43"/>
      <c r="AJ5" s="43"/>
      <c r="AK5" s="43"/>
      <c r="AL5" s="177" t="s">
        <v>91</v>
      </c>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row>
    <row r="6" spans="1:157" ht="63.6" customHeight="1">
      <c r="A6" s="408" t="s">
        <v>518</v>
      </c>
      <c r="B6" s="411">
        <f>E191</f>
        <v>0</v>
      </c>
      <c r="C6" s="458" t="s">
        <v>92</v>
      </c>
      <c r="D6" s="740"/>
      <c r="E6" s="740"/>
      <c r="F6" s="740"/>
      <c r="G6" s="740"/>
      <c r="H6" s="45"/>
      <c r="I6" s="41"/>
      <c r="J6" s="44"/>
      <c r="K6" s="41"/>
      <c r="L6" s="41"/>
      <c r="M6" s="41"/>
      <c r="N6" s="153" t="s">
        <v>486</v>
      </c>
      <c r="O6" s="43"/>
      <c r="P6" s="43"/>
      <c r="Q6" s="43"/>
      <c r="S6" s="156" t="s">
        <v>88</v>
      </c>
      <c r="T6" s="43"/>
      <c r="U6" s="53" t="s">
        <v>1</v>
      </c>
      <c r="V6" s="43"/>
      <c r="W6" s="171" t="s">
        <v>51</v>
      </c>
      <c r="X6" s="172">
        <v>1.3</v>
      </c>
      <c r="Y6" s="43"/>
      <c r="Z6" s="43"/>
      <c r="AA6" s="43"/>
      <c r="AB6" s="43"/>
      <c r="AC6" s="43"/>
      <c r="AE6" s="43"/>
      <c r="AF6" s="43"/>
      <c r="AG6" s="43"/>
      <c r="AH6" s="43"/>
      <c r="AI6" s="43"/>
      <c r="AJ6" s="43"/>
      <c r="AK6" s="43"/>
      <c r="AL6" s="177" t="s">
        <v>94</v>
      </c>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row>
    <row r="7" spans="1:157" ht="30" customHeight="1">
      <c r="A7" s="408" t="s">
        <v>95</v>
      </c>
      <c r="B7" s="412">
        <f>DEAPEntries!B5</f>
        <v>0</v>
      </c>
      <c r="C7" s="458" t="s">
        <v>519</v>
      </c>
      <c r="D7" s="739" t="str">
        <f>DEAPEntries!F5</f>
        <v>Sourced from DEAP: Building: Floors tab (or Dim tab in DEAP workbook)</v>
      </c>
      <c r="E7" s="739">
        <f>DEAPEntries!G5</f>
        <v>0</v>
      </c>
      <c r="F7" s="739">
        <f>DEAPEntries!H5</f>
        <v>0</v>
      </c>
      <c r="G7" s="739">
        <f>DEAPEntries!I5</f>
        <v>0</v>
      </c>
      <c r="H7" s="45"/>
      <c r="I7" s="41"/>
      <c r="J7" s="44"/>
      <c r="K7" s="41"/>
      <c r="L7" s="41"/>
      <c r="M7" s="41"/>
      <c r="N7" s="153" t="s">
        <v>394</v>
      </c>
      <c r="O7" s="43"/>
      <c r="P7" s="43"/>
      <c r="Q7" s="43"/>
      <c r="S7" s="156" t="s">
        <v>93</v>
      </c>
      <c r="T7" s="43"/>
      <c r="U7" s="53"/>
      <c r="V7" s="43"/>
      <c r="W7" s="171" t="s">
        <v>52</v>
      </c>
      <c r="X7" s="172">
        <v>1.34</v>
      </c>
      <c r="Y7" s="43"/>
      <c r="Z7" s="43"/>
      <c r="AA7" s="43"/>
      <c r="AB7" s="43"/>
      <c r="AC7" s="43"/>
      <c r="AE7" s="43"/>
      <c r="AF7" s="43"/>
      <c r="AG7" s="43"/>
      <c r="AH7" s="43"/>
      <c r="AI7" s="43"/>
      <c r="AJ7" s="43"/>
      <c r="AK7" s="43"/>
      <c r="AL7" s="177" t="s">
        <v>97</v>
      </c>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row>
    <row r="8" spans="1:157" ht="30" customHeight="1" thickBot="1">
      <c r="A8" s="413" t="s">
        <v>98</v>
      </c>
      <c r="B8" s="414"/>
      <c r="C8" s="458" t="s">
        <v>519</v>
      </c>
      <c r="D8" s="739" t="s">
        <v>368</v>
      </c>
      <c r="E8" s="739" t="e">
        <f>DEAPEntries!#REF!</f>
        <v>#REF!</v>
      </c>
      <c r="F8" s="739" t="e">
        <f>DEAPEntries!#REF!</f>
        <v>#REF!</v>
      </c>
      <c r="G8" s="739" t="e">
        <f>DEAPEntries!#REF!</f>
        <v>#REF!</v>
      </c>
      <c r="H8" s="45"/>
      <c r="I8" s="41"/>
      <c r="J8" s="44"/>
      <c r="K8" s="41"/>
      <c r="L8" s="41"/>
      <c r="M8" s="41"/>
      <c r="N8" s="154" t="s">
        <v>485</v>
      </c>
      <c r="O8" s="43"/>
      <c r="P8" s="43"/>
      <c r="Q8" s="43"/>
      <c r="S8" s="156" t="s">
        <v>96</v>
      </c>
      <c r="T8" s="43"/>
      <c r="U8" s="53"/>
      <c r="V8" s="43"/>
      <c r="W8" s="171" t="s">
        <v>99</v>
      </c>
      <c r="X8" s="172">
        <v>1.1000000000000001</v>
      </c>
      <c r="Y8" s="43"/>
      <c r="Z8" s="43"/>
      <c r="AA8" s="43"/>
      <c r="AB8" s="43"/>
      <c r="AC8" s="43"/>
      <c r="AD8" s="43"/>
      <c r="AE8" s="43"/>
      <c r="AF8" s="43"/>
      <c r="AG8" s="43"/>
      <c r="AH8" s="43"/>
      <c r="AI8" s="43"/>
      <c r="AJ8" s="43"/>
      <c r="AK8" s="43"/>
      <c r="AL8" s="177" t="s">
        <v>100</v>
      </c>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row>
    <row r="9" spans="1:157" ht="30" customHeight="1" thickBot="1">
      <c r="A9" s="415" t="str">
        <f>IF(N10=FALSE,"No heat Pump for Space Heating - PROCEED TO WATER HEATING","Heat Pump for Space Heating")</f>
        <v>No heat Pump for Space Heating - PROCEED TO WATER HEATING</v>
      </c>
      <c r="B9" s="415"/>
      <c r="C9" s="736" t="str">
        <f>IF(N10,E224,".")</f>
        <v>.</v>
      </c>
      <c r="D9" s="737"/>
      <c r="E9" s="737"/>
      <c r="F9" s="737"/>
      <c r="G9" s="771"/>
      <c r="H9" s="737"/>
      <c r="I9" s="738"/>
      <c r="J9" s="44"/>
      <c r="K9" s="41"/>
      <c r="L9" s="41"/>
      <c r="M9" s="41"/>
      <c r="N9" s="43" t="s">
        <v>344</v>
      </c>
      <c r="O9" s="43"/>
      <c r="P9" s="43"/>
      <c r="Q9" s="43"/>
      <c r="R9" s="43"/>
      <c r="S9" s="157" t="s">
        <v>480</v>
      </c>
      <c r="T9" s="43"/>
      <c r="U9" s="43"/>
      <c r="V9" s="43"/>
      <c r="W9" s="173" t="s">
        <v>424</v>
      </c>
      <c r="X9" s="172">
        <v>1.2</v>
      </c>
      <c r="Y9" s="43"/>
      <c r="Z9" s="43"/>
      <c r="AA9" s="43"/>
      <c r="AB9" s="43"/>
      <c r="AC9" s="43"/>
      <c r="AD9" s="43"/>
      <c r="AE9" s="43"/>
      <c r="AF9" s="43"/>
      <c r="AG9" s="43"/>
      <c r="AH9" s="43"/>
      <c r="AI9" s="43"/>
      <c r="AJ9" s="43"/>
      <c r="AK9" s="43"/>
      <c r="AL9" s="177" t="s">
        <v>101</v>
      </c>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row>
    <row r="10" spans="1:157" ht="30" customHeight="1" thickBot="1">
      <c r="A10" s="406" t="s">
        <v>102</v>
      </c>
      <c r="B10" s="416"/>
      <c r="D10" s="753" t="s">
        <v>382</v>
      </c>
      <c r="E10" s="753"/>
      <c r="F10" s="753"/>
      <c r="G10" s="149" t="s">
        <v>383</v>
      </c>
      <c r="H10" s="45"/>
      <c r="I10" s="41"/>
      <c r="J10" s="44"/>
      <c r="K10" s="41"/>
      <c r="L10" s="41"/>
      <c r="M10" s="41"/>
      <c r="N10" s="139" t="b">
        <f>M189</f>
        <v>0</v>
      </c>
      <c r="O10" s="43" t="s">
        <v>345</v>
      </c>
      <c r="P10" s="43"/>
      <c r="Q10" s="43"/>
      <c r="R10" s="43"/>
      <c r="S10" s="43"/>
      <c r="T10" s="43"/>
      <c r="U10" s="43"/>
      <c r="V10" s="43"/>
      <c r="W10" s="173" t="s">
        <v>103</v>
      </c>
      <c r="X10" s="172">
        <v>1.1000000000000001</v>
      </c>
      <c r="Y10" s="43"/>
      <c r="Z10" s="43"/>
      <c r="AA10" s="43"/>
      <c r="AB10" s="43"/>
      <c r="AC10" s="43"/>
      <c r="AD10" s="43"/>
      <c r="AE10" s="43"/>
      <c r="AF10" s="43"/>
      <c r="AG10" s="43"/>
      <c r="AH10" s="43"/>
      <c r="AI10" s="43"/>
      <c r="AJ10" s="43"/>
      <c r="AK10" s="43"/>
      <c r="AL10" s="178" t="s">
        <v>104</v>
      </c>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row>
    <row r="11" spans="1:157" ht="30" customHeight="1">
      <c r="A11" s="408" t="s">
        <v>105</v>
      </c>
      <c r="B11" s="417"/>
      <c r="D11" s="754" t="s">
        <v>384</v>
      </c>
      <c r="E11" s="754"/>
      <c r="F11" s="754"/>
      <c r="G11" s="149" t="s">
        <v>44</v>
      </c>
      <c r="H11" s="45"/>
      <c r="I11" s="41"/>
      <c r="J11" s="44"/>
      <c r="K11" s="41"/>
      <c r="L11" s="41"/>
      <c r="M11" s="41"/>
      <c r="N11" s="139" t="b">
        <f>M190</f>
        <v>0</v>
      </c>
      <c r="O11" s="43" t="s">
        <v>346</v>
      </c>
      <c r="P11" s="43"/>
      <c r="Q11" s="43"/>
      <c r="R11" s="43"/>
      <c r="S11" s="43"/>
      <c r="T11" s="43"/>
      <c r="U11" s="43"/>
      <c r="V11" s="43"/>
      <c r="W11" s="173" t="s">
        <v>106</v>
      </c>
      <c r="X11" s="172">
        <v>1.1000000000000001</v>
      </c>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row>
    <row r="12" spans="1:157" ht="126.6" customHeight="1" thickBot="1">
      <c r="A12" s="408" t="s">
        <v>107</v>
      </c>
      <c r="B12" s="417" t="s">
        <v>55</v>
      </c>
      <c r="C12" s="134" t="str">
        <f>IF(E189="Exhaust Air Heat Pump",
IF(LEFT(B12,7)&lt;&gt;"Exhaust","Warning: Type of heat pump selected here and in DEAPEntries tab do not match. 
Check entries",""),
IF(LEFT(B12,7)="Exhaust","Warning: Type of heat pump selected here and in DEAPEntries tab do not match. 
Check entries",""))</f>
        <v/>
      </c>
      <c r="D12" s="754" t="s">
        <v>390</v>
      </c>
      <c r="E12" s="754"/>
      <c r="F12" s="754"/>
      <c r="G12" s="150" t="s">
        <v>385</v>
      </c>
      <c r="H12" s="45"/>
      <c r="I12" s="41"/>
      <c r="J12" s="44"/>
      <c r="K12" s="41"/>
      <c r="L12" s="41"/>
      <c r="M12" s="41"/>
      <c r="N12" s="139" t="b">
        <f>IF(AND(N10=TRUE,N11=TRUE,$B$14&lt;&gt;$N$3),IF(B67="Same Heat Pump providing Space Heating and Domestic Hot Water",TRUE,FALSE),FALSE)</f>
        <v>0</v>
      </c>
      <c r="O12" s="43" t="s">
        <v>350</v>
      </c>
      <c r="P12" s="43"/>
      <c r="Q12" s="43"/>
      <c r="R12" s="43"/>
      <c r="S12" s="43"/>
      <c r="T12" s="43"/>
      <c r="U12" s="43"/>
      <c r="V12" s="43"/>
      <c r="W12" s="174" t="s">
        <v>108</v>
      </c>
      <c r="X12" s="175">
        <v>1.1000000000000001</v>
      </c>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row>
    <row r="13" spans="1:157" ht="78.599999999999994" customHeight="1">
      <c r="A13" s="408" t="s">
        <v>109</v>
      </c>
      <c r="B13" s="417" t="s">
        <v>57</v>
      </c>
      <c r="D13" s="750" t="s">
        <v>110</v>
      </c>
      <c r="E13" s="750"/>
      <c r="F13" s="750"/>
      <c r="G13" s="256" t="s">
        <v>477</v>
      </c>
      <c r="H13" s="45"/>
      <c r="I13" s="41"/>
      <c r="J13" s="44"/>
      <c r="K13" s="41"/>
      <c r="L13" s="41"/>
      <c r="M13" s="41"/>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row>
    <row r="14" spans="1:157" ht="121.9" customHeight="1">
      <c r="A14" s="408" t="s">
        <v>111</v>
      </c>
      <c r="B14" s="418" t="s">
        <v>54</v>
      </c>
      <c r="C14" s="458"/>
      <c r="D14" s="746" t="str">
        <f ca="1">IFERROR(IF(OR(N10&lt;&gt;TRUE,ISNUMBER(SEARCH($B14,E229))),
".",
"ERROR:Check the option selected for space heating standard. Valid option(s) for this heat pump type as follows: "&amp;CHAR(10)&amp;E229),".")</f>
        <v>.</v>
      </c>
      <c r="E14" s="746"/>
      <c r="F14" s="746"/>
      <c r="G14" s="256" t="str">
        <f ca="1">A225&amp;E225</f>
        <v>Heat pump type:Air to Water</v>
      </c>
      <c r="H14" s="45"/>
      <c r="I14" s="41"/>
      <c r="J14" s="44"/>
      <c r="K14" s="41"/>
      <c r="L14" s="41"/>
      <c r="M14" s="41"/>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row>
    <row r="15" spans="1:157" ht="30" customHeight="1">
      <c r="A15" s="419" t="s">
        <v>112</v>
      </c>
      <c r="B15" s="418"/>
      <c r="C15" s="459" t="s">
        <v>113</v>
      </c>
      <c r="D15" s="750" t="s">
        <v>114</v>
      </c>
      <c r="E15" s="750"/>
      <c r="F15" s="750"/>
      <c r="G15" s="256" t="str">
        <f ca="1">A226&amp;E226</f>
        <v>Electric or GAHP:Electricity</v>
      </c>
      <c r="H15" s="45"/>
      <c r="I15" s="41"/>
      <c r="J15" s="44"/>
      <c r="K15" s="41"/>
      <c r="L15" s="41"/>
      <c r="M15" s="41"/>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row>
    <row r="16" spans="1:157" ht="30" customHeight="1">
      <c r="A16" s="419" t="s">
        <v>115</v>
      </c>
      <c r="B16" s="418"/>
      <c r="C16" s="459" t="s">
        <v>113</v>
      </c>
      <c r="D16" s="750" t="s">
        <v>114</v>
      </c>
      <c r="E16" s="750"/>
      <c r="F16" s="750"/>
      <c r="G16" s="256" t="str">
        <f ca="1">A227&amp;E227</f>
        <v>Low temp:Not low temperature heat pump</v>
      </c>
      <c r="H16" s="45"/>
      <c r="I16" s="41"/>
      <c r="J16" s="44"/>
      <c r="K16" s="41"/>
      <c r="L16" s="41"/>
      <c r="M16" s="41"/>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row>
    <row r="17" spans="1:157" ht="49.9" customHeight="1" thickBot="1">
      <c r="A17" s="420" t="s">
        <v>116</v>
      </c>
      <c r="B17" s="421">
        <f>IF(B5="Yes",B6*(1-DEAPEntries!B8)*(1-DEAPEntries!B7)*DEAPEntries!B4/DEAPEntries!I10,
                       B6*(1-DEAPEntries!B8)*(1-DEAPEntries!B7)*DEAPEntries!B4)</f>
        <v>0</v>
      </c>
      <c r="C17" s="458" t="s">
        <v>43</v>
      </c>
      <c r="D17" s="756"/>
      <c r="E17" s="756"/>
      <c r="F17" s="756"/>
      <c r="G17" s="256" t="str">
        <f ca="1">A228&amp;E228</f>
        <v>Ecodesign based stds:Ecodesign applies and/or ecodesign data available</v>
      </c>
      <c r="H17" s="218"/>
      <c r="I17" s="61"/>
      <c r="J17" s="44"/>
      <c r="K17" s="41"/>
      <c r="L17" s="41"/>
      <c r="M17" s="41"/>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row>
    <row r="18" spans="1:157" ht="42" customHeight="1" thickBot="1">
      <c r="A18" s="422" t="s">
        <v>117</v>
      </c>
      <c r="B18" s="423">
        <v>-3</v>
      </c>
      <c r="C18" s="459" t="s">
        <v>113</v>
      </c>
      <c r="D18" s="741" t="s">
        <v>118</v>
      </c>
      <c r="E18" s="741"/>
      <c r="F18" s="741"/>
      <c r="G18" s="259" t="str">
        <f>IF(AND(B16&gt;=52,G10=R1),"ERROR: WTOL can't be &gt;=52degC for low temperature heat pumps",IF(AND(B16&gt;45,G10=R1),"Warning: low temperature heat pump test data will only be available up to 45degC",""))</f>
        <v/>
      </c>
      <c r="H18" s="56"/>
      <c r="I18" s="57"/>
      <c r="J18" s="44"/>
      <c r="K18" s="41"/>
      <c r="L18" s="41"/>
      <c r="M18" s="41"/>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row>
    <row r="19" spans="1:157" ht="30" customHeight="1" thickBot="1">
      <c r="A19" s="424" t="s">
        <v>119</v>
      </c>
      <c r="B19" s="425" t="str">
        <f>IFERROR(21*DEAPEntries!B6/DEAPEntries!B5+(1-DEAPEntries!B6/DEAPEntries!B5)*18,"Please complete DEAP Entries tab")</f>
        <v>Please complete DEAP Entries tab</v>
      </c>
      <c r="C19" s="459" t="s">
        <v>113</v>
      </c>
      <c r="D19" s="741" t="s">
        <v>120</v>
      </c>
      <c r="E19" s="741"/>
      <c r="F19" s="741"/>
      <c r="G19" s="215"/>
      <c r="H19" s="56"/>
      <c r="I19" s="57"/>
      <c r="J19" s="44"/>
      <c r="K19" s="41"/>
      <c r="L19" s="41"/>
      <c r="M19" s="41"/>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row>
    <row r="20" spans="1:157" ht="30" customHeight="1">
      <c r="A20" s="405" t="s">
        <v>419</v>
      </c>
      <c r="B20" s="191" t="s">
        <v>121</v>
      </c>
      <c r="C20" s="458"/>
      <c r="D20" s="34"/>
      <c r="E20" s="34"/>
      <c r="F20" s="34"/>
      <c r="H20" s="56"/>
      <c r="I20" s="57"/>
      <c r="J20" s="44"/>
      <c r="K20" s="41"/>
      <c r="L20" s="41"/>
      <c r="M20" s="41"/>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row>
    <row r="21" spans="1:157" ht="30" customHeight="1">
      <c r="A21" s="93" t="s">
        <v>122</v>
      </c>
      <c r="B21" s="216" t="s">
        <v>37</v>
      </c>
      <c r="H21" s="56"/>
      <c r="I21" s="57"/>
      <c r="J21" s="44"/>
      <c r="K21" s="41"/>
      <c r="L21" s="41"/>
      <c r="M21" s="41"/>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row>
    <row r="22" spans="1:157" ht="30" customHeight="1">
      <c r="A22" s="93" t="s">
        <v>123</v>
      </c>
      <c r="B22" s="216" t="s">
        <v>38</v>
      </c>
      <c r="D22" s="733" t="s">
        <v>124</v>
      </c>
      <c r="E22" s="733"/>
      <c r="F22" s="733"/>
      <c r="H22" s="56"/>
      <c r="I22" s="57"/>
      <c r="J22" s="44"/>
      <c r="K22" s="41"/>
      <c r="L22" s="41"/>
      <c r="M22" s="41"/>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c r="CS22" s="43"/>
      <c r="CT22" s="43"/>
      <c r="CU22" s="43"/>
      <c r="CV22" s="43"/>
      <c r="CW22" s="43"/>
      <c r="CX22" s="43"/>
      <c r="CY22" s="43"/>
      <c r="CZ22" s="43"/>
      <c r="DA22" s="43"/>
      <c r="DB22" s="43"/>
      <c r="DC22" s="43"/>
      <c r="DD22" s="43"/>
      <c r="DE22" s="43"/>
      <c r="DF22" s="43"/>
      <c r="DG22" s="43"/>
      <c r="DH22" s="43"/>
      <c r="DI22" s="43"/>
      <c r="DJ22" s="43"/>
      <c r="DK22" s="43"/>
      <c r="DL22" s="43"/>
      <c r="DM22" s="43"/>
      <c r="DN22" s="43"/>
      <c r="DO22" s="43"/>
      <c r="DP22" s="43"/>
      <c r="DQ22" s="43"/>
      <c r="DR22" s="43"/>
      <c r="DS22" s="43"/>
      <c r="DT22" s="43"/>
      <c r="DU22" s="43"/>
      <c r="DV22" s="43"/>
      <c r="DW22" s="43"/>
      <c r="DX22" s="43"/>
      <c r="DY22" s="43"/>
      <c r="DZ22" s="43"/>
      <c r="EA22" s="43"/>
      <c r="EB22" s="43"/>
      <c r="EC22" s="43"/>
      <c r="ED22" s="43"/>
      <c r="EE22" s="43"/>
      <c r="EF22" s="43"/>
      <c r="EG22" s="43"/>
      <c r="EH22" s="43"/>
      <c r="EI22" s="43"/>
      <c r="EJ22" s="43"/>
      <c r="EK22" s="43"/>
      <c r="EL22" s="43"/>
      <c r="EM22" s="43"/>
      <c r="EN22" s="43"/>
      <c r="EO22" s="43"/>
      <c r="EP22" s="43"/>
      <c r="EQ22" s="43"/>
      <c r="ER22" s="43"/>
      <c r="ES22" s="43"/>
      <c r="ET22" s="43"/>
      <c r="EU22" s="43"/>
      <c r="EV22" s="43"/>
      <c r="EW22" s="43"/>
      <c r="EX22" s="43"/>
      <c r="EY22" s="43"/>
      <c r="EZ22" s="43"/>
      <c r="FA22" s="43"/>
    </row>
    <row r="23" spans="1:157" ht="33" customHeight="1" thickBot="1">
      <c r="A23" s="94" t="s">
        <v>125</v>
      </c>
      <c r="B23" s="217" t="s">
        <v>38</v>
      </c>
      <c r="D23" s="63">
        <f>IF(B24="Yes",35,IF(B21="Yes",55,IF(B22="Yes",45,35)))</f>
        <v>55</v>
      </c>
      <c r="E23" s="54" t="s">
        <v>113</v>
      </c>
      <c r="F23" s="565" t="s">
        <v>126</v>
      </c>
      <c r="H23" s="56"/>
      <c r="I23" s="57"/>
      <c r="J23" s="45"/>
      <c r="K23" s="41"/>
      <c r="L23" s="41"/>
      <c r="M23" s="41"/>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row>
    <row r="24" spans="1:157" ht="30" customHeight="1">
      <c r="A24" s="426" t="s">
        <v>127</v>
      </c>
      <c r="B24" s="427" t="str">
        <f>IF(RIGHT(B12,6)="to Air","Yes","No")</f>
        <v>No</v>
      </c>
      <c r="D24" s="742" t="str">
        <f>IF(AND(B24="No",B25&gt;B16,OR(B14=N1,B14=N2)),
"ERROR: Design Flow Temperature is greater than Heat Pumps Operating Limit, please correct",
"")</f>
        <v/>
      </c>
      <c r="E24" s="743"/>
      <c r="F24" s="744"/>
      <c r="H24" s="56"/>
      <c r="I24" s="57"/>
      <c r="J24" s="44"/>
      <c r="K24" s="41"/>
      <c r="L24" s="41"/>
      <c r="M24" s="41"/>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row>
    <row r="25" spans="1:157" ht="69.599999999999994" customHeight="1">
      <c r="A25" s="428" t="s">
        <v>128</v>
      </c>
      <c r="B25" s="429"/>
      <c r="C25" s="54" t="s">
        <v>113</v>
      </c>
      <c r="D25" s="742" t="str">
        <f>(IF(B25&lt;D23,"WARNING: As design flow temperature is less than default, please ensure that documentary evidence is available to support it",""))</f>
        <v>WARNING: As design flow temperature is less than default, please ensure that documentary evidence is available to support it</v>
      </c>
      <c r="E25" s="743"/>
      <c r="F25" s="744"/>
      <c r="H25" s="56"/>
      <c r="I25" s="57"/>
      <c r="J25" s="44"/>
      <c r="K25" s="41"/>
      <c r="L25" s="41"/>
      <c r="M25" s="41"/>
      <c r="N25" s="43"/>
      <c r="O25" s="43" t="s">
        <v>129</v>
      </c>
      <c r="P25" s="43"/>
      <c r="Q25" s="43"/>
      <c r="R25" s="43"/>
      <c r="S25" s="43"/>
      <c r="T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43"/>
      <c r="DP25" s="43"/>
      <c r="DQ25" s="43"/>
      <c r="DR25" s="43"/>
      <c r="DS25" s="43"/>
      <c r="DT25" s="43"/>
      <c r="DU25" s="43"/>
      <c r="DV25" s="43"/>
      <c r="DW25" s="43"/>
      <c r="DX25" s="43"/>
      <c r="DY25" s="43"/>
      <c r="DZ25" s="43"/>
      <c r="EA25" s="43"/>
      <c r="EB25" s="43"/>
      <c r="EC25" s="43"/>
      <c r="ED25" s="43"/>
      <c r="EE25" s="43"/>
      <c r="EF25" s="43"/>
      <c r="EG25" s="43"/>
      <c r="EH25" s="43"/>
      <c r="EI25" s="43"/>
      <c r="EJ25" s="43"/>
      <c r="EK25" s="43"/>
      <c r="EL25" s="43"/>
      <c r="EM25" s="43"/>
      <c r="EN25" s="43"/>
      <c r="EO25" s="43"/>
      <c r="EP25" s="43"/>
      <c r="EQ25" s="43"/>
      <c r="ER25" s="43"/>
      <c r="ES25" s="43"/>
      <c r="ET25" s="43"/>
      <c r="EU25" s="43"/>
      <c r="EV25" s="43"/>
      <c r="EW25" s="43"/>
      <c r="EX25" s="43"/>
      <c r="EY25" s="43"/>
      <c r="EZ25" s="43"/>
      <c r="FA25" s="43"/>
    </row>
    <row r="26" spans="1:157" s="53" customFormat="1" ht="30" customHeight="1">
      <c r="A26" s="422" t="s">
        <v>130</v>
      </c>
      <c r="B26" s="430">
        <f>IF(B24="Yes",1,1.2)</f>
        <v>1.2</v>
      </c>
      <c r="D26" s="755" t="s">
        <v>131</v>
      </c>
      <c r="E26" s="755"/>
      <c r="F26" s="755"/>
      <c r="H26" s="56"/>
      <c r="I26" s="57"/>
      <c r="J26" s="44"/>
      <c r="K26" s="41"/>
      <c r="L26" s="41"/>
      <c r="M26" s="41"/>
      <c r="N26" s="34"/>
      <c r="O26" s="34"/>
      <c r="P26" s="34"/>
      <c r="Q26" s="34"/>
      <c r="R26" s="34"/>
      <c r="S26" s="34"/>
      <c r="T26" s="34"/>
      <c r="X26" s="34"/>
      <c r="Y26" s="34"/>
      <c r="Z26" s="34"/>
      <c r="AA26" s="34"/>
      <c r="AB26" s="34"/>
      <c r="AC26" s="34"/>
      <c r="AD26" s="34"/>
      <c r="AE26" s="34"/>
      <c r="AF26" s="34"/>
      <c r="AG26" s="34"/>
      <c r="AH26" s="34"/>
      <c r="AI26" s="34"/>
      <c r="AJ26" s="34"/>
      <c r="AK26" s="34"/>
      <c r="AL26" s="34"/>
      <c r="AM26" s="34"/>
      <c r="AN26" s="34"/>
      <c r="AO26" s="34"/>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row>
    <row r="27" spans="1:157" ht="30" customHeight="1">
      <c r="A27" s="422" t="s">
        <v>132</v>
      </c>
      <c r="B27" s="430">
        <f>IF(B24="Yes",5,IF(B21="Yes",10,IF(B22="Yes",7.5,5)))</f>
        <v>10</v>
      </c>
      <c r="C27" s="54" t="s">
        <v>113</v>
      </c>
      <c r="D27" s="739" t="s">
        <v>131</v>
      </c>
      <c r="E27" s="739"/>
      <c r="F27" s="739"/>
      <c r="G27" s="53"/>
      <c r="H27" s="56"/>
      <c r="I27" s="57"/>
      <c r="J27" s="58"/>
      <c r="K27" s="57"/>
      <c r="L27" s="57"/>
      <c r="M27" s="57"/>
      <c r="N27" s="53"/>
      <c r="O27" s="53"/>
      <c r="P27" s="53"/>
      <c r="Q27" s="53"/>
      <c r="R27" s="53"/>
      <c r="S27" s="53"/>
      <c r="T27" s="53"/>
      <c r="X27" s="53"/>
      <c r="Y27" s="53"/>
      <c r="Z27" s="53"/>
      <c r="AA27" s="53"/>
      <c r="AB27" s="53"/>
      <c r="AC27" s="53"/>
      <c r="AD27" s="53"/>
      <c r="AE27" s="53"/>
      <c r="AF27" s="53"/>
      <c r="AG27" s="53"/>
      <c r="AH27" s="53"/>
      <c r="AI27" s="53"/>
      <c r="AJ27" s="53"/>
      <c r="AK27" s="53"/>
      <c r="AL27" s="53"/>
      <c r="AM27" s="53"/>
      <c r="AN27" s="53"/>
      <c r="AO27" s="53"/>
    </row>
    <row r="28" spans="1:157" s="53" customFormat="1" ht="30" customHeight="1">
      <c r="A28" s="422" t="s">
        <v>133</v>
      </c>
      <c r="B28" s="430">
        <f>B25-B27</f>
        <v>-10</v>
      </c>
      <c r="D28" s="35"/>
      <c r="E28" s="35"/>
      <c r="F28" s="35"/>
      <c r="H28" s="56"/>
      <c r="I28" s="57"/>
      <c r="J28" s="58"/>
      <c r="K28" s="57"/>
      <c r="L28" s="57"/>
      <c r="M28" s="57"/>
      <c r="U28" s="34"/>
      <c r="V28" s="34"/>
      <c r="W28" s="34"/>
    </row>
    <row r="29" spans="1:157" s="53" customFormat="1" ht="30" customHeight="1">
      <c r="A29" s="420" t="s">
        <v>134</v>
      </c>
      <c r="B29" s="429">
        <v>8</v>
      </c>
      <c r="C29" s="34" t="s">
        <v>39</v>
      </c>
      <c r="D29" s="733" t="s">
        <v>135</v>
      </c>
      <c r="E29" s="733"/>
      <c r="F29" s="733"/>
      <c r="G29" s="34"/>
      <c r="H29" s="56"/>
      <c r="I29" s="57"/>
      <c r="J29" s="58"/>
      <c r="K29" s="57"/>
      <c r="L29" s="57"/>
      <c r="M29" s="57"/>
      <c r="U29" s="34"/>
      <c r="V29" s="34"/>
      <c r="W29" s="34"/>
    </row>
    <row r="30" spans="1:157" s="53" customFormat="1" ht="30" customHeight="1">
      <c r="A30" s="422" t="s">
        <v>136</v>
      </c>
      <c r="B30" s="430">
        <f>24-B29</f>
        <v>16</v>
      </c>
      <c r="C30" s="53" t="s">
        <v>1</v>
      </c>
      <c r="D30" s="35"/>
      <c r="E30" s="35"/>
      <c r="F30" s="35"/>
      <c r="H30" s="56"/>
      <c r="I30" s="57"/>
      <c r="J30" s="58"/>
      <c r="K30" s="57"/>
      <c r="L30" s="57"/>
      <c r="M30" s="57"/>
      <c r="U30" s="34"/>
      <c r="V30" s="34"/>
      <c r="W30" s="34"/>
    </row>
    <row r="31" spans="1:157" s="53" customFormat="1" ht="30" customHeight="1">
      <c r="A31" s="422" t="s">
        <v>422</v>
      </c>
      <c r="B31" s="431">
        <f>IF(G11=$Q$2,$X$2,$X$3)</f>
        <v>2.08</v>
      </c>
      <c r="D31" s="741" t="s">
        <v>423</v>
      </c>
      <c r="E31" s="741"/>
      <c r="F31" s="741"/>
      <c r="H31" s="56"/>
      <c r="I31" s="57"/>
      <c r="J31" s="58"/>
      <c r="K31" s="57"/>
      <c r="L31" s="57"/>
      <c r="M31" s="57"/>
      <c r="U31" s="34"/>
      <c r="V31" s="34"/>
      <c r="W31" s="34"/>
    </row>
    <row r="32" spans="1:157" s="53" customFormat="1" ht="30" customHeight="1">
      <c r="A32" s="422" t="s">
        <v>138</v>
      </c>
      <c r="B32" s="432" t="s">
        <v>38</v>
      </c>
      <c r="C32" s="34"/>
      <c r="D32" s="733" t="s">
        <v>139</v>
      </c>
      <c r="E32" s="733"/>
      <c r="F32" s="733"/>
      <c r="G32" s="34"/>
      <c r="H32" s="56"/>
      <c r="I32" s="57"/>
      <c r="J32" s="58"/>
      <c r="K32" s="57"/>
      <c r="L32" s="57"/>
      <c r="M32" s="57"/>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row>
    <row r="33" spans="1:41" ht="30" customHeight="1">
      <c r="A33" s="420" t="s">
        <v>140</v>
      </c>
      <c r="B33" s="429" t="s">
        <v>44</v>
      </c>
      <c r="D33" s="733" t="s">
        <v>139</v>
      </c>
      <c r="E33" s="733"/>
      <c r="F33" s="733"/>
      <c r="H33" s="56"/>
      <c r="I33" s="57"/>
      <c r="J33" s="58"/>
      <c r="K33" s="57"/>
      <c r="L33" s="57"/>
      <c r="M33" s="57"/>
    </row>
    <row r="34" spans="1:41" ht="47.25" customHeight="1">
      <c r="A34" s="420" t="s">
        <v>141</v>
      </c>
      <c r="B34" s="433">
        <f>VLOOKUP(B33,W2:X12,2,)</f>
        <v>2.08</v>
      </c>
      <c r="H34" s="56"/>
      <c r="I34" s="57"/>
      <c r="J34" s="58"/>
      <c r="K34" s="41"/>
      <c r="L34" s="41"/>
      <c r="M34" s="41"/>
    </row>
    <row r="35" spans="1:41" ht="30" customHeight="1">
      <c r="A35" s="422" t="s">
        <v>142</v>
      </c>
      <c r="B35" s="434"/>
      <c r="C35" s="34" t="s">
        <v>92</v>
      </c>
      <c r="D35" s="733" t="s">
        <v>143</v>
      </c>
      <c r="E35" s="733"/>
      <c r="F35" s="733"/>
      <c r="H35" s="56"/>
      <c r="I35" s="57"/>
      <c r="J35" s="58"/>
      <c r="K35" s="57"/>
      <c r="L35" s="57"/>
      <c r="M35" s="57"/>
    </row>
    <row r="36" spans="1:41" ht="30" customHeight="1">
      <c r="A36" s="428" t="s">
        <v>425</v>
      </c>
      <c r="B36" s="433">
        <f>IF(B32="Yes",(B31/B34)*B35,1)</f>
        <v>1</v>
      </c>
      <c r="C36" s="53"/>
      <c r="D36" s="35"/>
      <c r="E36" s="35"/>
      <c r="F36" s="35"/>
      <c r="G36" s="155"/>
      <c r="H36" s="56"/>
      <c r="I36" s="57"/>
      <c r="J36" s="58"/>
      <c r="K36" s="41"/>
      <c r="L36" s="41"/>
      <c r="M36" s="41"/>
    </row>
    <row r="37" spans="1:41" s="53" customFormat="1" ht="34.15" customHeight="1" thickBot="1">
      <c r="C37" s="34"/>
      <c r="D37" s="66"/>
      <c r="E37" s="66"/>
      <c r="F37" s="66"/>
      <c r="G37" s="34"/>
      <c r="H37" s="261" t="s">
        <v>481</v>
      </c>
      <c r="I37" s="261" t="s">
        <v>482</v>
      </c>
      <c r="J37" s="261" t="s">
        <v>483</v>
      </c>
      <c r="K37" s="41"/>
      <c r="L37" s="41"/>
      <c r="M37" s="41"/>
      <c r="N37" s="34"/>
      <c r="P37" s="43"/>
      <c r="Q37" s="34"/>
      <c r="R37" s="34"/>
      <c r="S37" s="34"/>
      <c r="T37" s="34"/>
      <c r="U37" s="65"/>
      <c r="V37" s="65"/>
      <c r="W37" s="65"/>
      <c r="X37" s="34"/>
      <c r="Y37" s="34"/>
      <c r="Z37" s="34"/>
      <c r="AA37" s="34"/>
      <c r="AB37" s="34"/>
      <c r="AC37" s="34"/>
      <c r="AD37" s="34"/>
      <c r="AE37" s="34"/>
      <c r="AF37" s="34"/>
      <c r="AG37" s="34"/>
      <c r="AH37" s="34"/>
      <c r="AI37" s="34"/>
      <c r="AJ37" s="34"/>
      <c r="AK37" s="34"/>
      <c r="AL37" s="34"/>
      <c r="AM37" s="34"/>
      <c r="AN37" s="34"/>
      <c r="AO37" s="34"/>
    </row>
    <row r="38" spans="1:41" ht="78.599999999999994" customHeight="1">
      <c r="A38" s="768" t="str">
        <f>"Select the test Conditions according to the test data available from "&amp;B14</f>
        <v>Select the test Conditions according to the test data available from I.S. EN 14825</v>
      </c>
      <c r="B38" s="435" t="str">
        <f>AD4</f>
        <v>High Temperature</v>
      </c>
      <c r="C38" s="432" t="s">
        <v>37</v>
      </c>
      <c r="D38" s="759" t="str">
        <f>"Source from Ecodesign Data or accredited tests to " &amp;B14</f>
        <v>Source from Ecodesign Data or accredited tests to I.S. EN 14825</v>
      </c>
      <c r="E38" s="760"/>
      <c r="F38" s="761"/>
      <c r="G38" s="747" t="str">
        <f>"GUIDANCE NOTE: 
" &amp; IF($B$24="Yes","This is a 'to-air' heat pump. Select NO for all but "&amp;B38,
IF($G$10=$R$2,B38&amp;" Application Data is a mandatory requirement under Ecodesign Directive for this heat pump so must be selected as well as any other temperature applications for which test data is available",
B39&amp;" Application Data is a mandatory requirement under Ecodesign Directive for this heat pump so must be selected. If it is available, application data may also be selected at "&amp;B40))</f>
        <v>GUIDANCE NOTE: 
High Temperature Application Data is a mandatory requirement under Ecodesign Directive for this heat pump so must be selected as well as any other temperature applications for which test data is available</v>
      </c>
      <c r="H38" s="261" t="b">
        <f>IF($B$24="Yes",TRUE,FALSE)</f>
        <v>0</v>
      </c>
      <c r="I38" s="261" t="b">
        <f>IF($G$10=$R$1,TRUE,FALSE)</f>
        <v>0</v>
      </c>
      <c r="J38" s="261" t="str">
        <f>IF($I$38,"No","Yes")</f>
        <v>Yes</v>
      </c>
      <c r="K38" s="57"/>
      <c r="L38" s="57"/>
      <c r="M38" s="57"/>
      <c r="N38" s="53"/>
      <c r="O38" s="43"/>
      <c r="P38" s="4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row>
    <row r="39" spans="1:41" s="53" customFormat="1" ht="31.5" customHeight="1">
      <c r="A39" s="769"/>
      <c r="B39" s="435" t="str">
        <f>AD2</f>
        <v>Low Temperature</v>
      </c>
      <c r="C39" s="432" t="s">
        <v>38</v>
      </c>
      <c r="D39" s="762"/>
      <c r="E39" s="763"/>
      <c r="F39" s="764"/>
      <c r="G39" s="748"/>
      <c r="H39" s="72"/>
      <c r="I39" s="57"/>
      <c r="J39" s="261" t="str">
        <f>IF($I$38,"Yes",IF($H$38,"No",C39))</f>
        <v>No</v>
      </c>
      <c r="K39" s="57"/>
      <c r="L39" s="57"/>
      <c r="M39" s="57"/>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row>
    <row r="40" spans="1:41" ht="25.9" customHeight="1">
      <c r="A40" s="769"/>
      <c r="B40" s="435" t="str">
        <f>AD3</f>
        <v>Medium Temperature</v>
      </c>
      <c r="C40" s="432" t="s">
        <v>38</v>
      </c>
      <c r="D40" s="762"/>
      <c r="E40" s="763"/>
      <c r="F40" s="764"/>
      <c r="G40" s="748"/>
      <c r="H40" s="72"/>
      <c r="I40" s="57"/>
      <c r="J40" s="261" t="str">
        <f>IF($I$38,C40,IF($H$38,"No",C40))</f>
        <v>No</v>
      </c>
      <c r="K40" s="57"/>
      <c r="L40" s="57"/>
      <c r="M40" s="57"/>
    </row>
    <row r="41" spans="1:41" ht="26.45" customHeight="1" thickBot="1">
      <c r="A41" s="770"/>
      <c r="B41" s="435" t="str">
        <f>AD5</f>
        <v>Very high Temperature</v>
      </c>
      <c r="C41" s="432" t="s">
        <v>38</v>
      </c>
      <c r="D41" s="765"/>
      <c r="E41" s="766"/>
      <c r="F41" s="767"/>
      <c r="G41" s="749"/>
      <c r="H41" s="72"/>
      <c r="I41" s="57"/>
      <c r="J41" s="261" t="str">
        <f>IF($I$38,"No",IF($H$38,"No",C41))</f>
        <v>No</v>
      </c>
      <c r="K41" s="57"/>
      <c r="L41" s="57"/>
      <c r="M41" s="57"/>
      <c r="U41" s="65"/>
      <c r="V41" s="65"/>
      <c r="W41" s="65"/>
    </row>
    <row r="42" spans="1:41" ht="66.599999999999994" customHeight="1" thickBot="1">
      <c r="A42" s="74"/>
      <c r="B42" s="183" t="str">
        <f>"Maximum test temperature allowed for in tests to "&amp;B14</f>
        <v>Maximum test temperature allowed for in tests to I.S. EN 14825</v>
      </c>
      <c r="C42" s="184">
        <f>IF($B$24="Yes",35,IF(C41="Yes",65,IF(C38="Yes",55,IF(C40="Yes",45,35))))</f>
        <v>55</v>
      </c>
      <c r="D42" s="757" t="str">
        <f>IF(B25&gt;C42,"ERROR: Heat Pump data not suitable for Design Flow Temperature, test data must be available for higher supply temperature","")</f>
        <v/>
      </c>
      <c r="E42" s="758"/>
      <c r="F42" s="758"/>
      <c r="G42" s="260" t="str">
        <f>IF(C38&amp;C39&amp;C40&amp;C41&lt;&gt;J38&amp;J39&amp;J40&amp;J41,"Warning: incorrect application temperatures selected for this heat pump type. Check entries please.","")</f>
        <v/>
      </c>
      <c r="H42" s="72"/>
      <c r="I42" s="72"/>
      <c r="J42" s="58"/>
      <c r="K42" s="57"/>
      <c r="L42" s="57"/>
      <c r="M42" s="57"/>
      <c r="U42" s="65"/>
      <c r="V42" s="65"/>
      <c r="W42" s="65"/>
    </row>
    <row r="43" spans="1:41" ht="33.75" customHeight="1" thickBot="1">
      <c r="A43" s="77" t="s">
        <v>1</v>
      </c>
      <c r="B43" s="185" t="str">
        <f>"Test Conditions "&amp;B14</f>
        <v>Test Conditions I.S. EN 14825</v>
      </c>
      <c r="C43" s="188" t="s">
        <v>145</v>
      </c>
      <c r="D43" s="189" t="s">
        <v>146</v>
      </c>
      <c r="E43" s="189" t="s">
        <v>147</v>
      </c>
      <c r="F43" s="189" t="s">
        <v>148</v>
      </c>
      <c r="G43" s="190" t="s">
        <v>149</v>
      </c>
      <c r="H43" s="78"/>
      <c r="I43" s="79"/>
      <c r="J43" s="58"/>
      <c r="K43" s="41"/>
      <c r="L43" s="41"/>
      <c r="M43" s="41"/>
      <c r="N43" s="53"/>
      <c r="O43" s="53"/>
      <c r="P43" s="53"/>
      <c r="Q43" s="53"/>
      <c r="R43" s="53" t="s">
        <v>1</v>
      </c>
      <c r="S43" s="53" t="s">
        <v>1</v>
      </c>
      <c r="T43" s="53"/>
      <c r="U43" s="53"/>
      <c r="V43" s="53"/>
      <c r="W43" s="53"/>
      <c r="X43" s="53"/>
      <c r="Y43" s="53"/>
      <c r="Z43" s="53"/>
      <c r="AA43" s="53"/>
      <c r="AB43" s="53"/>
      <c r="AC43" s="53"/>
      <c r="AD43" s="53"/>
      <c r="AE43" s="53"/>
      <c r="AF43" s="53"/>
      <c r="AG43" s="53"/>
      <c r="AH43" s="53"/>
      <c r="AI43" s="53"/>
      <c r="AJ43" s="53"/>
      <c r="AK43" s="53"/>
      <c r="AL43" s="53"/>
      <c r="AM43" s="53"/>
      <c r="AN43" s="53"/>
      <c r="AO43" s="53"/>
    </row>
    <row r="44" spans="1:41" s="53" customFormat="1" ht="51.75" customHeight="1">
      <c r="A44" s="80" t="str">
        <f>B39&amp;" Application (35degC)"</f>
        <v>Low Temperature Application (35degC)</v>
      </c>
      <c r="B44" s="436" t="s">
        <v>150</v>
      </c>
      <c r="C44" s="448" t="str">
        <f>IF(OR($B$12="Water to Water",$B$12="Water to Air"),"W10",
IF(OR($B$12="Brine to Water",$B$12="Brine to Air"),"B0",
IF($B$12=$S$4,"A20",
IF($B$12=$S$5,"E4",
"A-7"))))</f>
        <v>A-7</v>
      </c>
      <c r="D44" s="449" t="str">
        <f>IF(OR($B$12="Water to Water",$B$12="Water to Air"),"W10",
IF(OR($B$12="Brine to Water",$B$12="Brine to Air"),"B0",
IF($B$12=$S$4,"A20",
IF($B$12=$S$5,"E4",
"A2"))))</f>
        <v>A2</v>
      </c>
      <c r="E44" s="449" t="str">
        <f>IF(OR($B$12="Water to Water",$B$12="Water to Air"),"W10",
IF(OR($B$12="Brine to Water",$B$12="Brine to Air"),"B0",
IF($B$12=$S$4,"A20",
IF($B$12=$S$5,"E4",
"A7"))))</f>
        <v>A7</v>
      </c>
      <c r="F44" s="449" t="str">
        <f>IF(OR($B$12="Water to Water",$B$12="Water to Air"),"W10",
IF(OR($B$12="Brine to Water",$B$12="Brine to Air"),"B0",
IF($B$12=$S$4,"A20",
IF($B$12=$S$5,"E4",
"A12"))))</f>
        <v>A12</v>
      </c>
      <c r="G44" s="450" t="str">
        <f>IF(OR($B$12="Water to Water",$B$12="Water to Air"),"W10",
IF(OR($B$12="Brine to Water",$B$12="Brine to Air"),"B0",
IF($B$12=$S$4,"A20",
IF($B$12=$S$5,"E4",
"A"&amp;$B$15))))</f>
        <v>A</v>
      </c>
      <c r="H44" s="81"/>
      <c r="I44" s="83"/>
      <c r="J44" s="58"/>
      <c r="K44" s="57"/>
      <c r="L44" s="57"/>
      <c r="M44" s="57"/>
    </row>
    <row r="45" spans="1:41" s="53" customFormat="1" ht="32.25" customHeight="1">
      <c r="A45" s="186" t="str">
        <f>"Standard: "&amp;$B$14</f>
        <v>Standard: I.S. EN 14825</v>
      </c>
      <c r="B45" s="437" t="s">
        <v>151</v>
      </c>
      <c r="C45" s="451" t="str">
        <f>IF(OR($B$12="Water to Air",$B$12="Air to Air",$B$12="Brine to Air"),"A20",(IF($B$13="Fixed Outlet","W35","W34")))</f>
        <v>W35</v>
      </c>
      <c r="D45" s="452" t="str">
        <f>IF(OR($B$12="Water to Air",$B$12="Air to Air",$B$12="Brine to Air"),"A20",(IF($B$13="Fixed Outlet","W35","W30")))</f>
        <v>W35</v>
      </c>
      <c r="E45" s="452" t="str">
        <f>IF(OR($B$12="Water to Air",$B$12="Air to Air",$B$12="Brine to Air"),"A20",(IF($B$13="Fixed Outlet","W35","W27")))</f>
        <v>W35</v>
      </c>
      <c r="F45" s="452" t="str">
        <f>IF(OR($B$12="Water to Air",$B$12="Air to Air",$B$12="Brine to Air"),"A20",(IF($B$13="Fixed Outlet","W35","W24")))</f>
        <v>W35</v>
      </c>
      <c r="G45" s="453" t="str">
        <f>IF(OR($B$12="Water to Air",$B$12="Air to Air",$B$12="Brine to Air"),"A20",(IF($B$13="Fixed Outlet","W35","W35")))</f>
        <v>W35</v>
      </c>
      <c r="H45" s="81"/>
      <c r="I45" s="83"/>
      <c r="J45" s="58"/>
      <c r="K45" s="57"/>
      <c r="L45" s="57"/>
      <c r="M45" s="57"/>
    </row>
    <row r="46" spans="1:41" s="53" customFormat="1" ht="31.5" customHeight="1">
      <c r="A46" s="751" t="str">
        <f>IF($B$24="yes","No entries required here. 'To-air' heat pump",
" Source from Ecodesign data or 
"&amp;IF($B$14=$N$1, "I.S. EN14825 Table 8 for air source. 
Table 12 for brine, water or DX source. 
[These table # references are from 2016 version of this standard]",
IF($B$14=$N$2,"I.S. EN12309-6 Table 5 for air source. 
Table 17 for Brine or Water source.
[These table # references are from 2014 version of this standard]",
"")))</f>
        <v xml:space="preserve"> Source from Ecodesign data or 
I.S. EN14825 Table 8 for air source. 
Table 12 for brine, water or DX source. 
[These table # references are from 2016 version of this standard]</v>
      </c>
      <c r="B46" s="437" t="s">
        <v>152</v>
      </c>
      <c r="C46" s="414"/>
      <c r="D46" s="432"/>
      <c r="E46" s="432"/>
      <c r="F46" s="432"/>
      <c r="G46" s="457"/>
      <c r="H46" s="84"/>
      <c r="I46" s="57"/>
      <c r="J46" s="58"/>
      <c r="K46" s="57"/>
      <c r="L46" s="57"/>
      <c r="M46" s="57"/>
      <c r="N46" s="34"/>
      <c r="O46" s="34"/>
      <c r="P46" s="34"/>
      <c r="Q46" s="34"/>
      <c r="R46" s="34"/>
      <c r="S46" s="34"/>
      <c r="T46" s="34"/>
      <c r="U46" s="65"/>
      <c r="V46" s="65"/>
      <c r="W46" s="65"/>
      <c r="X46" s="34"/>
      <c r="Y46" s="34"/>
      <c r="Z46" s="34"/>
      <c r="AA46" s="34"/>
      <c r="AB46" s="34"/>
      <c r="AC46" s="34"/>
      <c r="AD46" s="34"/>
      <c r="AE46" s="34"/>
      <c r="AF46" s="34"/>
      <c r="AG46" s="34"/>
      <c r="AH46" s="34"/>
      <c r="AI46" s="34"/>
      <c r="AJ46" s="34"/>
      <c r="AK46" s="34"/>
      <c r="AL46" s="34"/>
      <c r="AM46" s="34"/>
      <c r="AN46" s="34"/>
      <c r="AO46" s="34"/>
    </row>
    <row r="47" spans="1:41" ht="43.15" customHeight="1" thickBot="1">
      <c r="A47" s="752"/>
      <c r="B47" s="438" t="s">
        <v>153</v>
      </c>
      <c r="C47" s="454"/>
      <c r="D47" s="455"/>
      <c r="E47" s="455"/>
      <c r="F47" s="455"/>
      <c r="G47" s="456"/>
      <c r="H47" s="86"/>
      <c r="I47" s="83"/>
      <c r="J47" s="58"/>
      <c r="K47" s="41"/>
      <c r="L47" s="41"/>
      <c r="M47" s="41"/>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row>
    <row r="48" spans="1:41" s="53" customFormat="1" ht="36" customHeight="1">
      <c r="A48" s="80" t="str">
        <f>B40&amp;" Application (45degC)"</f>
        <v>Medium Temperature Application (45degC)</v>
      </c>
      <c r="B48" s="440" t="s">
        <v>150</v>
      </c>
      <c r="C48" s="448" t="str">
        <f>IF(OR($B$12="Water to Water",$B$12="Water to Air"),"W10",
IF(OR($B$12="Brine to Water",$B$12="Brine to Air"),"B0",
IF($B$12=$S$4,"A20",
IF($B$12=$S$5,"E4",
"A-7"))))</f>
        <v>A-7</v>
      </c>
      <c r="D48" s="449" t="str">
        <f>IF(OR($B$12="Water to Water",$B$12="Water to Air"),"W10",
IF(OR($B$12="Brine to Water",$B$12="Brine to Air"),"B0",
IF($B$12=$S$4,"A20",
IF($B$12=$S$5,"E4",
"A2"))))</f>
        <v>A2</v>
      </c>
      <c r="E48" s="449" t="str">
        <f>IF(OR($B$12="Water to Water",$B$12="Water to Air"),"W10",
IF(OR($B$12="Brine to Water",$B$12="Brine to Air"),"B0",
IF($B$12=$S$4,"A20",
IF($B$12=$S$5,"E4",
"A7"))))</f>
        <v>A7</v>
      </c>
      <c r="F48" s="449" t="str">
        <f>IF(OR($B$12="Water to Water",$B$12="Water to Air"),"W10",
IF(OR($B$12="Brine to Water",$B$12="Brine to Air"),"B0",
IF($B$12=$S$4,"A20",
IF($B$12=$S$5,"E4",
"A12"))))</f>
        <v>A12</v>
      </c>
      <c r="G48" s="450" t="str">
        <f>IF(OR($B$12="Water to Water",$B$12="Water to Air"),"W10",
IF(OR($B$12="Brine to Water",$B$12="Brine to Air"),"B0",
IF($B$12=$S$4,"A20",
IF($B$12=$S$5,"E4",
"A"&amp;$B$15))))</f>
        <v>A</v>
      </c>
      <c r="H48" s="86"/>
      <c r="I48" s="88"/>
      <c r="J48" s="58"/>
      <c r="K48" s="57"/>
      <c r="L48" s="57"/>
      <c r="M48" s="57"/>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row>
    <row r="49" spans="1:157" ht="15.75" customHeight="1">
      <c r="A49" s="186" t="str">
        <f>"Standard: "&amp;$B$14</f>
        <v>Standard: I.S. EN 14825</v>
      </c>
      <c r="B49" s="441" t="s">
        <v>151</v>
      </c>
      <c r="C49" s="451" t="str">
        <f>IF(OR($B$12="Water to Air",$B$12="Air to Air",$B$12="Brine to Air"),"A20",(IF($B$13="Fixed Outlet","W45","W43")))</f>
        <v>W45</v>
      </c>
      <c r="D49" s="452" t="str">
        <f>IF(OR($B$12="Water to Air",$B$12="Air to Air",$B$12="Brine to Air"),"A20",(IF($B$13="Fixed Outlet","W45","W37")))</f>
        <v>W45</v>
      </c>
      <c r="E49" s="452" t="str">
        <f>IF(OR($B$12="Water to Air",$B$12="Air to Air",$B$12="Brine to Air"),"A20",(IF($B$13="Fixed Outlet","W45","W33")))</f>
        <v>W45</v>
      </c>
      <c r="F49" s="452" t="str">
        <f>IF(OR($B$12="Water to Air",$B$12="Air to Air",$B$12="Brine to Air"),"A20",(IF($B$13="Fixed Outlet","W45","W28")))</f>
        <v>W45</v>
      </c>
      <c r="G49" s="453" t="str">
        <f>IF(OR($B$12="Water to Air",$B$12="Air to Air",$B$12="Brine to Air"),"A20",(IF($B$13="Fixed Outlet","W45","W45")))</f>
        <v>W45</v>
      </c>
      <c r="H49" s="86"/>
      <c r="I49" s="88"/>
      <c r="J49" s="58"/>
      <c r="K49" s="57"/>
      <c r="L49" s="57"/>
      <c r="M49" s="57"/>
    </row>
    <row r="50" spans="1:157" ht="15.75" customHeight="1">
      <c r="A50" s="751" t="str">
        <f>IF($B$24="yes","No entries required here. 'To-air' heat pump",
" Source from Ecodesign data or 
"&amp;IF($B$14=$N$1, "I.S. EN14825 Table 9 for air source. 
Table 13 for brine, water or DX source. 
[These table # references are from 2016 version of this standard]",
IF($B$14=$N$2,"I.S. EN12309-6 Table 8 for air source. 
Table 20 for Brine or Water source.
[These table # references are from 2014 version of this standard]",
"")))</f>
        <v xml:space="preserve"> Source from Ecodesign data or 
I.S. EN14825 Table 9 for air source. 
Table 13 for brine, water or DX source. 
[These table # references are from 2016 version of this standard]</v>
      </c>
      <c r="B50" s="441" t="s">
        <v>152</v>
      </c>
      <c r="C50" s="414"/>
      <c r="D50" s="432"/>
      <c r="E50" s="432"/>
      <c r="F50" s="432"/>
      <c r="G50" s="457"/>
      <c r="H50" s="81"/>
      <c r="I50" s="83"/>
      <c r="J50" s="58"/>
      <c r="K50" s="57"/>
      <c r="L50" s="57"/>
      <c r="M50" s="57"/>
      <c r="N50" s="69"/>
    </row>
    <row r="51" spans="1:157" ht="60" customHeight="1" thickBot="1">
      <c r="A51" s="752"/>
      <c r="B51" s="443" t="s">
        <v>153</v>
      </c>
      <c r="C51" s="454"/>
      <c r="D51" s="455"/>
      <c r="E51" s="455"/>
      <c r="F51" s="455"/>
      <c r="G51" s="456"/>
      <c r="H51" s="90"/>
      <c r="I51" s="81"/>
      <c r="J51" s="58"/>
      <c r="K51" s="57"/>
      <c r="L51" s="57"/>
      <c r="M51" s="57"/>
      <c r="N51" s="70" t="s">
        <v>1</v>
      </c>
    </row>
    <row r="52" spans="1:157" ht="28.5" customHeight="1">
      <c r="A52" s="187" t="str">
        <f>IF(B24="Yes","To Air test points",B38&amp;" Application (55degC).")</f>
        <v>High Temperature Application (55degC).</v>
      </c>
      <c r="B52" s="440" t="s">
        <v>150</v>
      </c>
      <c r="C52" s="448" t="str">
        <f>IF(OR($B$12="Water to Water",$B$12="Water to Air"),"W10",
IF(OR($B$12="Brine to Water",$B$12="Brine to Air"),"B0",
IF(LEFT($B$12,7)="Exhaust","A20",
IF($B$12=$S$5,"E4",
"A-7"))))</f>
        <v>A-7</v>
      </c>
      <c r="D52" s="449" t="str">
        <f>IF(OR($B$12="Water to Water",$B$12="Water to Air"),"W10",
IF(OR($B$12="Brine to Water",$B$12="Brine to Air"),"B0",
IF(LEFT($B$12,7)="Exhaust","A20",
IF($B$12=$S$5,"E4",
"A2"))))</f>
        <v>A2</v>
      </c>
      <c r="E52" s="449" t="str">
        <f>IF(OR($B$12="Water to Water",$B$12="Water to Air"),"W10",
IF(OR($B$12="Brine to Water",$B$12="Brine to Air"),"B0",
IF(LEFT($B$12,7)="Exhaust","A20",
IF($B$12=$S$5,"E4",
"A7"))))</f>
        <v>A7</v>
      </c>
      <c r="F52" s="449" t="str">
        <f>IF(OR($B$12="Water to Water",$B$12="Water to Air"),"W10",
IF(OR($B$12="Brine to Water",$B$12="Brine to Air"),"B0",
IF(LEFT($B$12,7)="Exhaust","A20",
IF($B$12=$S$5,"E4",
"A12"))))</f>
        <v>A12</v>
      </c>
      <c r="G52" s="450" t="str">
        <f>IF(OR($B$12="Water to Water",$B$12="Water to Air"),"W10",
IF(OR($B$12="Brine to Water",$B$12="Brine to Air"),"B0",
IF(LEFT($B$12,7)="Exhaust","A20",
IF($B$12=$S$5,"E4",
"A"&amp;$B$15))))</f>
        <v>A</v>
      </c>
      <c r="H52" s="90"/>
      <c r="I52" s="88"/>
      <c r="J52" s="73"/>
      <c r="K52" s="72"/>
      <c r="L52" s="72"/>
      <c r="M52" s="72"/>
      <c r="N52" s="74"/>
    </row>
    <row r="53" spans="1:157" ht="78.599999999999994" customHeight="1">
      <c r="A53" s="186" t="str">
        <f>"Standard: "&amp;$B$14</f>
        <v>Standard: I.S. EN 14825</v>
      </c>
      <c r="B53" s="441" t="s">
        <v>151</v>
      </c>
      <c r="C53" s="451" t="str">
        <f>IF($B$24="Yes","A20",(IF($B$13="Fixed Outlet","W55","W52")))</f>
        <v>W55</v>
      </c>
      <c r="D53" s="452" t="str">
        <f>IF($B$24="Yes","A20",(IF($B$13="Fixed Outlet","W55","W42")))</f>
        <v>W55</v>
      </c>
      <c r="E53" s="452" t="str">
        <f>IF($B$24="Yes","A20",(IF($B$13="Fixed Outlet","W55","W36")))</f>
        <v>W55</v>
      </c>
      <c r="F53" s="452" t="str">
        <f>IF($B$24="Yes","A20",(IF($B$13="Fixed Outlet","W55","W30")))</f>
        <v>W55</v>
      </c>
      <c r="G53" s="453" t="str">
        <f>IF($B$24="Yes","A20",(IF($B$13="Fixed Outlet","W55","W55")))</f>
        <v>W55</v>
      </c>
      <c r="H53" s="90"/>
      <c r="I53" s="88"/>
      <c r="J53" s="75"/>
      <c r="K53" s="41"/>
      <c r="L53" s="41"/>
      <c r="M53" s="41"/>
      <c r="N53" s="74"/>
      <c r="O53" s="53"/>
      <c r="P53" s="53"/>
      <c r="Q53" s="53"/>
      <c r="R53" s="53"/>
      <c r="S53" s="53"/>
      <c r="T53" s="53"/>
      <c r="U53" s="53"/>
    </row>
    <row r="54" spans="1:157" ht="30.75" customHeight="1">
      <c r="A54" s="751" t="str">
        <f>IF($B$24="yes",IF($B$14=$N$3,"Source data from I.S. EN 14511 as required by I.S. EN 13141 for this heat pump type. See DEAP manual Appendix G", "'To-air' heat pump. Source from Ecodesign data or I.S. EN14825 Table 6 for air source, and Table 7 for brine/water source"),
" Source from Ecodesign data or 
"&amp;IF($B$14=$N$1, "I.S. EN14825 Table 10 for air source. 
Table 14 for brine, water or DX source. 
[These table # references are from 2016 version of this standard]",
IF($B$14=$N$2,"I.S. EN12309-6 Table 11 for air source. 
Table 23 for Brine or Water source.
[These table # references are from 2014 version of this standard]",
"")))</f>
        <v xml:space="preserve"> Source from Ecodesign data or 
I.S. EN14825 Table 10 for air source. 
Table 14 for brine, water or DX source. 
[These table # references are from 2016 version of this standard]</v>
      </c>
      <c r="B54" s="441" t="s">
        <v>152</v>
      </c>
      <c r="C54" s="414"/>
      <c r="D54" s="432"/>
      <c r="E54" s="432"/>
      <c r="F54" s="432"/>
      <c r="G54" s="457"/>
      <c r="H54" s="34"/>
      <c r="I54" s="83"/>
      <c r="J54" s="76"/>
      <c r="K54" s="41"/>
      <c r="L54" s="41"/>
      <c r="M54" s="41"/>
      <c r="N54" s="74"/>
      <c r="O54" s="53"/>
      <c r="P54" s="53"/>
      <c r="Q54" s="53"/>
      <c r="R54" s="53"/>
      <c r="S54" s="53"/>
      <c r="T54" s="53"/>
      <c r="U54" s="53"/>
    </row>
    <row r="55" spans="1:157" ht="42.6" customHeight="1" thickBot="1">
      <c r="A55" s="752"/>
      <c r="B55" s="444" t="s">
        <v>153</v>
      </c>
      <c r="C55" s="454"/>
      <c r="D55" s="455"/>
      <c r="E55" s="455"/>
      <c r="F55" s="455"/>
      <c r="G55" s="456"/>
      <c r="H55" s="81"/>
      <c r="I55" s="81"/>
      <c r="J55" s="76"/>
      <c r="K55" s="41"/>
      <c r="L55" s="41"/>
      <c r="M55" s="41"/>
      <c r="N55" s="74"/>
      <c r="O55" s="53"/>
      <c r="P55" s="53"/>
      <c r="Q55" s="53"/>
      <c r="R55" s="53"/>
      <c r="S55" s="53"/>
      <c r="T55" s="53"/>
      <c r="U55" s="53"/>
    </row>
    <row r="56" spans="1:157" ht="30.75" customHeight="1">
      <c r="A56" s="80" t="str">
        <f>B41&amp;" Application (65degC)"</f>
        <v>Very high Temperature Application (65degC)</v>
      </c>
      <c r="B56" s="445" t="s">
        <v>150</v>
      </c>
      <c r="C56" s="448" t="str">
        <f>IF(OR($B$12="Water to Water",$B$12="Water to Air"),"W10",
IF(OR($B$12="Brine to Water",$B$12="Brine to Air"),"B0",
IF($B$12=$S$4,"A20",
IF($B$12=$S$5,"E4",
"A-7"))))</f>
        <v>A-7</v>
      </c>
      <c r="D56" s="449" t="str">
        <f>IF(OR($B$12="Water to Water",$B$12="Water to Air"),"W10",
IF(OR($B$12="Brine to Water",$B$12="Brine to Air"),"B0",
IF($B$12=$S$4,"A20",
IF($B$12=$S$5,"E4",
"A2"))))</f>
        <v>A2</v>
      </c>
      <c r="E56" s="449" t="str">
        <f>IF(OR($B$12="Water to Water",$B$12="Water to Air"),"W10",
IF(OR($B$12="Brine to Water",$B$12="Brine to Air"),"B0",
IF($B$12=$S$4,"A20",
IF($B$12=$S$5,"E4",
"A7"))))</f>
        <v>A7</v>
      </c>
      <c r="F56" s="449" t="str">
        <f>IF(OR($B$12="Water to Water",$B$12="Water to Air"),"W10",
IF(OR($B$12="Brine to Water",$B$12="Brine to Air"),"B0",
IF($B$12=$S$4,"A20",
IF($B$12=$S$5,"E4",
"A12"))))</f>
        <v>A12</v>
      </c>
      <c r="G56" s="450" t="str">
        <f>IF(OR($B$12="Water to Water",$B$12="Water to Air"),"W10",
IF(OR($B$12="Brine to Water",$B$12="Brine to Air"),"B0",
IF($B$12=$S$4,"A20",
IF($B$12=$S$5,"E4",
"A"&amp;$B$15))))</f>
        <v>A</v>
      </c>
      <c r="H56" s="90"/>
      <c r="I56" s="88"/>
      <c r="J56" s="76"/>
      <c r="K56" s="41"/>
      <c r="L56" s="41"/>
      <c r="M56" s="41"/>
      <c r="N56" s="43"/>
      <c r="O56" s="43"/>
      <c r="P56" s="43"/>
      <c r="Q56" s="43"/>
      <c r="R56" s="43"/>
      <c r="S56" s="43"/>
      <c r="T56" s="43"/>
      <c r="U56" s="53"/>
    </row>
    <row r="57" spans="1:157" ht="49.5" customHeight="1">
      <c r="A57" s="186" t="str">
        <f>"Standard: "&amp;$B$14</f>
        <v>Standard: I.S. EN 14825</v>
      </c>
      <c r="B57" s="441" t="s">
        <v>151</v>
      </c>
      <c r="C57" s="451" t="str">
        <f>IF(OR($B$12="Water to Air",$B$12="Air to Air",$B$12="Brine to Air"),"A20",(IF($B$13="Fixed Outlet","W65","W61")))</f>
        <v>W65</v>
      </c>
      <c r="D57" s="452" t="str">
        <f>IF(OR($B$12="Water to Air",$B$12="Air to Air",$B$12="Brine to Air"),"A20",(IF($B$13="Fixed Outlet","W65","W49")))</f>
        <v>W65</v>
      </c>
      <c r="E57" s="452" t="str">
        <f>IF(OR($B$12="Water to Air",$B$12="Air to Air",$B$12="Brine to Air"),"A20",(IF($B$13="Fixed Outlet","W65","W41")))</f>
        <v>W65</v>
      </c>
      <c r="F57" s="452" t="str">
        <f>IF(OR($B$12="Water to Air",$B$12="Air to Air",$B$12="Brine to Air"),"A20",(IF($B$13="Fixed Outlet","W65","W32")))</f>
        <v>W65</v>
      </c>
      <c r="G57" s="453" t="str">
        <f>IF(OR($B$12="Water to Air",$B$12="Air to Air",$B$12="Brine to Air"),"A20",(IF($B$13="Fixed Outlet","W65","W65")))</f>
        <v>W65</v>
      </c>
      <c r="H57" s="90" t="s">
        <v>1</v>
      </c>
      <c r="I57" s="88" t="s">
        <v>1</v>
      </c>
      <c r="J57" s="76"/>
      <c r="K57" s="72"/>
      <c r="L57" s="72"/>
      <c r="M57" s="72"/>
      <c r="N57" s="43"/>
      <c r="O57" s="43"/>
      <c r="P57" s="43"/>
      <c r="Q57" s="43"/>
      <c r="R57" s="43"/>
      <c r="S57" s="43"/>
      <c r="T57" s="43"/>
      <c r="U57" s="53"/>
    </row>
    <row r="58" spans="1:157" ht="30.75" customHeight="1">
      <c r="A58" s="751" t="str">
        <f>IF($B$24="yes","No entries required here. 'To-air' heat pump",
" Source from Ecodesign data or 
"&amp;IF($B$14=$N$1, "I.S. EN14825 Table 11 for air source. 
Table 15 for brine, water or DX source. 
[These table # references are from 2016 version of this standard]",
IF($B$14=$N$2,"I.S. EN12309-6 Table 14 for air source. 
Table 26 for Brine or Water source.
[These table # references are from 2014 version of this standard]",
"")))</f>
        <v xml:space="preserve"> Source from Ecodesign data or 
I.S. EN14825 Table 11 for air source. 
Table 15 for brine, water or DX source. 
[These table # references are from 2016 version of this standard]</v>
      </c>
      <c r="B58" s="441" t="s">
        <v>152</v>
      </c>
      <c r="C58" s="414"/>
      <c r="D58" s="432"/>
      <c r="E58" s="432"/>
      <c r="F58" s="432"/>
      <c r="G58" s="457"/>
      <c r="H58" s="90"/>
      <c r="I58" s="83"/>
      <c r="J58" s="76"/>
      <c r="K58" s="79"/>
      <c r="L58" s="79"/>
      <c r="M58" s="79"/>
      <c r="N58" s="43"/>
      <c r="O58" s="43"/>
      <c r="P58" s="43"/>
      <c r="Q58" s="43"/>
      <c r="R58" s="43"/>
      <c r="S58" s="43"/>
      <c r="T58" s="43"/>
      <c r="U58" s="53"/>
    </row>
    <row r="59" spans="1:157" ht="43.9" customHeight="1" thickBot="1">
      <c r="A59" s="752"/>
      <c r="B59" s="444" t="s">
        <v>153</v>
      </c>
      <c r="C59" s="454"/>
      <c r="D59" s="455"/>
      <c r="E59" s="455"/>
      <c r="F59" s="455"/>
      <c r="G59" s="456"/>
      <c r="H59" s="86"/>
      <c r="I59" s="57"/>
      <c r="J59" s="82"/>
      <c r="K59" s="41"/>
      <c r="L59" s="41"/>
      <c r="M59" s="41"/>
      <c r="N59" s="43"/>
      <c r="O59" s="43"/>
      <c r="P59" s="43"/>
      <c r="Q59" s="43"/>
      <c r="R59" s="43"/>
      <c r="S59" s="43"/>
      <c r="T59" s="43"/>
      <c r="U59" s="53"/>
    </row>
    <row r="60" spans="1:157" ht="30.75" customHeight="1">
      <c r="A60" s="122"/>
      <c r="B60" s="123"/>
      <c r="C60" s="87"/>
      <c r="D60" s="87"/>
      <c r="E60" s="87"/>
      <c r="F60" s="87"/>
      <c r="G60" s="87"/>
      <c r="H60" s="86"/>
      <c r="I60" s="57"/>
      <c r="J60" s="82"/>
      <c r="K60" s="41"/>
      <c r="L60" s="41"/>
      <c r="M60" s="41"/>
      <c r="N60" s="43"/>
      <c r="O60" s="43"/>
      <c r="P60" s="43"/>
      <c r="Q60" s="43"/>
      <c r="R60" s="43"/>
      <c r="S60" s="43"/>
      <c r="T60" s="43"/>
      <c r="U60" s="53"/>
    </row>
    <row r="61" spans="1:157" ht="30.75" customHeight="1" thickBot="1">
      <c r="A61" s="122"/>
      <c r="B61" s="123"/>
      <c r="C61" s="87"/>
      <c r="D61" s="87"/>
      <c r="E61" s="87"/>
      <c r="F61" s="87"/>
      <c r="G61" s="87"/>
      <c r="H61" s="86"/>
      <c r="I61" s="57"/>
      <c r="J61" s="82"/>
      <c r="K61" s="41"/>
      <c r="L61" s="41"/>
      <c r="M61" s="41"/>
      <c r="N61" s="43"/>
      <c r="O61" s="43"/>
      <c r="P61" s="43"/>
      <c r="Q61" s="43"/>
      <c r="R61" s="43"/>
      <c r="S61" s="43"/>
      <c r="T61" s="43"/>
      <c r="U61" s="53"/>
    </row>
    <row r="62" spans="1:157" ht="29.25" customHeight="1" thickBot="1">
      <c r="A62" s="8" t="str">
        <f>IF(N11=FALSE,"No heat Pump for Water Heating - PROCEED TO SPACE HEATING","Heat Pump for Water Heating")</f>
        <v>No heat Pump for Water Heating - PROCEED TO SPACE HEATING</v>
      </c>
      <c r="B62" s="8"/>
      <c r="C62" s="736" t="str">
        <f>IF(N11,E231,".")</f>
        <v>.</v>
      </c>
      <c r="D62" s="737"/>
      <c r="E62" s="737"/>
      <c r="F62" s="737"/>
      <c r="G62" s="737"/>
      <c r="H62" s="737"/>
      <c r="I62" s="738"/>
      <c r="J62" s="58"/>
      <c r="K62" s="57"/>
      <c r="L62" s="57"/>
      <c r="M62" s="57"/>
      <c r="N62" s="53"/>
      <c r="O62" s="53"/>
      <c r="P62" s="43"/>
      <c r="Q62" s="53"/>
      <c r="R62" s="53" t="s">
        <v>1</v>
      </c>
      <c r="S62" s="53"/>
      <c r="T62" s="53"/>
      <c r="U62" s="53"/>
      <c r="V62" s="53"/>
      <c r="W62" s="53"/>
      <c r="X62" s="53"/>
      <c r="Y62" s="53"/>
      <c r="Z62" s="53"/>
      <c r="AA62" s="53"/>
      <c r="AB62" s="53"/>
      <c r="AC62" s="53"/>
      <c r="AD62" s="53"/>
      <c r="AE62" s="53"/>
      <c r="AF62" s="53"/>
      <c r="AG62" s="53"/>
      <c r="AH62" s="53"/>
      <c r="AI62" s="53"/>
      <c r="AJ62" s="53"/>
      <c r="AK62" s="53"/>
      <c r="AL62" s="53"/>
      <c r="AM62" s="53"/>
      <c r="AN62" s="53"/>
      <c r="AO62" s="53"/>
    </row>
    <row r="63" spans="1:157" s="53" customFormat="1" ht="35.25" customHeight="1">
      <c r="A63" s="46" t="s">
        <v>102</v>
      </c>
      <c r="B63" s="416"/>
      <c r="C63" s="34"/>
      <c r="D63" s="773" t="s">
        <v>384</v>
      </c>
      <c r="E63" s="773"/>
      <c r="F63" s="773"/>
      <c r="G63" s="149" t="s">
        <v>44</v>
      </c>
      <c r="H63" s="45"/>
      <c r="I63" s="41"/>
      <c r="J63" s="44"/>
      <c r="K63" s="57"/>
      <c r="L63" s="57"/>
      <c r="M63" s="57"/>
      <c r="N63" s="34"/>
      <c r="P63" s="43"/>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row>
    <row r="64" spans="1:157" ht="52.15" customHeight="1">
      <c r="A64" s="36" t="s">
        <v>105</v>
      </c>
      <c r="B64" s="417"/>
      <c r="D64" s="773" t="s">
        <v>390</v>
      </c>
      <c r="E64" s="773"/>
      <c r="F64" s="773"/>
      <c r="G64" s="150" t="s">
        <v>385</v>
      </c>
      <c r="H64" s="45"/>
      <c r="I64" s="41"/>
      <c r="J64" s="44"/>
      <c r="K64" s="41"/>
      <c r="L64" s="41"/>
      <c r="M64" s="41"/>
      <c r="N64" s="43"/>
      <c r="O64" s="43"/>
      <c r="P64" s="43"/>
      <c r="Q64" s="43"/>
      <c r="R64" s="43"/>
      <c r="S64" s="43"/>
      <c r="T64" s="43"/>
      <c r="U64" s="43"/>
      <c r="V64" s="43"/>
      <c r="W64" s="43" t="s">
        <v>50</v>
      </c>
      <c r="X64" s="43">
        <v>1.2</v>
      </c>
      <c r="Y64" s="43"/>
      <c r="Z64" s="43"/>
      <c r="AA64" s="43"/>
      <c r="AB64" s="43"/>
      <c r="AC64" s="43"/>
      <c r="AD64" s="43"/>
      <c r="AE64" s="43"/>
      <c r="AF64" s="43"/>
      <c r="AG64" s="43"/>
      <c r="AH64" s="43"/>
      <c r="AI64" s="43"/>
      <c r="AJ64" s="43"/>
      <c r="AK64" s="43"/>
      <c r="AL64" s="39" t="s">
        <v>101</v>
      </c>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43"/>
      <c r="CY64" s="43"/>
      <c r="CZ64" s="43"/>
      <c r="DA64" s="43"/>
      <c r="DB64" s="43"/>
      <c r="DC64" s="43"/>
      <c r="DD64" s="43"/>
      <c r="DE64" s="43"/>
      <c r="DF64" s="43"/>
      <c r="DG64" s="43"/>
      <c r="DH64" s="43"/>
      <c r="DI64" s="43"/>
      <c r="DJ64" s="43"/>
      <c r="DK64" s="43"/>
      <c r="DL64" s="43"/>
      <c r="DM64" s="43"/>
      <c r="DN64" s="43"/>
      <c r="DO64" s="43"/>
      <c r="DP64" s="43"/>
      <c r="DQ64" s="43"/>
      <c r="DR64" s="43"/>
      <c r="DS64" s="43"/>
      <c r="DT64" s="43"/>
      <c r="DU64" s="43"/>
      <c r="DV64" s="43"/>
      <c r="DW64" s="43"/>
      <c r="DX64" s="43"/>
      <c r="DY64" s="43"/>
      <c r="DZ64" s="43"/>
      <c r="EA64" s="43"/>
      <c r="EB64" s="43"/>
      <c r="EC64" s="43"/>
      <c r="ED64" s="43"/>
      <c r="EE64" s="43"/>
      <c r="EF64" s="43"/>
      <c r="EG64" s="43"/>
      <c r="EH64" s="43"/>
      <c r="EI64" s="43"/>
      <c r="EJ64" s="43"/>
      <c r="EK64" s="43"/>
      <c r="EL64" s="43"/>
      <c r="EM64" s="43"/>
      <c r="EN64" s="43"/>
      <c r="EO64" s="43"/>
      <c r="EP64" s="43"/>
      <c r="EQ64" s="43"/>
      <c r="ER64" s="43"/>
      <c r="ES64" s="43"/>
      <c r="ET64" s="43"/>
      <c r="EU64" s="43"/>
      <c r="EV64" s="43"/>
      <c r="EW64" s="43"/>
      <c r="EX64" s="43"/>
      <c r="EY64" s="43"/>
      <c r="EZ64" s="43"/>
      <c r="FA64" s="43"/>
    </row>
    <row r="65" spans="1:157" ht="139.15" customHeight="1">
      <c r="A65" s="36" t="s">
        <v>107</v>
      </c>
      <c r="B65" s="417" t="s">
        <v>55</v>
      </c>
      <c r="C65" s="134" t="str">
        <f>IF(E190="Exhaust Air Heat Pump",
IF(LEFT(B65,7)&lt;&gt;"Exhaust","Warning: Type of heat pump selected here and in DEAPEntries tab do not match. 
Check entries",""),
IF(LEFT(B65,7)="Exhaust","Warning: Type of heat pump selected here and in DEAPEntries tab do not match. 
Check entries",""))</f>
        <v/>
      </c>
      <c r="D65" s="773" t="s">
        <v>426</v>
      </c>
      <c r="E65" s="773"/>
      <c r="F65" s="773"/>
      <c r="G65" s="121">
        <f>IF(G63=$Q$2,$X$2,$X$3)</f>
        <v>2.08</v>
      </c>
      <c r="H65" s="45"/>
      <c r="I65" s="41"/>
      <c r="J65" s="44"/>
      <c r="K65" s="41"/>
      <c r="L65" s="41"/>
      <c r="M65" s="41"/>
      <c r="N65" s="43"/>
      <c r="O65" s="43"/>
      <c r="P65" s="43"/>
      <c r="Q65" s="43"/>
      <c r="R65" s="43"/>
      <c r="S65" s="43"/>
      <c r="T65" s="43"/>
      <c r="U65" s="43"/>
      <c r="V65" s="43"/>
      <c r="W65" s="43" t="s">
        <v>103</v>
      </c>
      <c r="X65" s="43">
        <v>1.1000000000000001</v>
      </c>
      <c r="Y65" s="43"/>
      <c r="Z65" s="43"/>
      <c r="AA65" s="43"/>
      <c r="AB65" s="43"/>
      <c r="AC65" s="43"/>
      <c r="AD65" s="43"/>
      <c r="AE65" s="43"/>
      <c r="AF65" s="43"/>
      <c r="AG65" s="43"/>
      <c r="AH65" s="43"/>
      <c r="AI65" s="43"/>
      <c r="AJ65" s="43"/>
      <c r="AK65" s="43"/>
      <c r="AL65" s="39" t="s">
        <v>104</v>
      </c>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43"/>
      <c r="CY65" s="43"/>
      <c r="CZ65" s="43"/>
      <c r="DA65" s="43"/>
      <c r="DB65" s="43"/>
      <c r="DC65" s="43"/>
      <c r="DD65" s="43"/>
      <c r="DE65" s="43"/>
      <c r="DF65" s="43"/>
      <c r="DG65" s="43"/>
      <c r="DH65" s="43"/>
      <c r="DI65" s="43"/>
      <c r="DJ65" s="43"/>
      <c r="DK65" s="43"/>
      <c r="DL65" s="43"/>
      <c r="DM65" s="43"/>
      <c r="DN65" s="43"/>
      <c r="DO65" s="43"/>
      <c r="DP65" s="43"/>
      <c r="DQ65" s="43"/>
      <c r="DR65" s="43"/>
      <c r="DS65" s="43"/>
      <c r="DT65" s="43"/>
      <c r="DU65" s="43"/>
      <c r="DV65" s="43"/>
      <c r="DW65" s="43"/>
      <c r="DX65" s="43"/>
      <c r="DY65" s="43"/>
      <c r="DZ65" s="43"/>
      <c r="EA65" s="43"/>
      <c r="EB65" s="43"/>
      <c r="EC65" s="43"/>
      <c r="ED65" s="43"/>
      <c r="EE65" s="43"/>
      <c r="EF65" s="43"/>
      <c r="EG65" s="43"/>
      <c r="EH65" s="43"/>
      <c r="EI65" s="43"/>
      <c r="EJ65" s="43"/>
      <c r="EK65" s="43"/>
      <c r="EL65" s="43"/>
      <c r="EM65" s="43"/>
      <c r="EN65" s="43"/>
      <c r="EO65" s="43"/>
      <c r="EP65" s="43"/>
      <c r="EQ65" s="43"/>
      <c r="ER65" s="43"/>
      <c r="ES65" s="43"/>
      <c r="ET65" s="43"/>
      <c r="EU65" s="43"/>
      <c r="EV65" s="43"/>
      <c r="EW65" s="43"/>
      <c r="EX65" s="43"/>
      <c r="EY65" s="43"/>
      <c r="EZ65" s="43"/>
      <c r="FA65" s="43"/>
    </row>
    <row r="66" spans="1:157" ht="147.6" customHeight="1" thickBot="1">
      <c r="A66" s="36" t="s">
        <v>109</v>
      </c>
      <c r="B66" s="417" t="s">
        <v>57</v>
      </c>
      <c r="C66" s="262" t="str">
        <f>IF($N$12,IF(B65&amp;B66&amp;G63&amp;G64&lt;&gt;B12&amp;B13&amp;G11&amp;G12,"Warning: heat pump type; temperature control; fuel; ecodesign applicability should be the same for space and water heating",""),"")</f>
        <v/>
      </c>
      <c r="D66" s="750" t="s">
        <v>110</v>
      </c>
      <c r="E66" s="750"/>
      <c r="F66" s="750"/>
      <c r="G66" s="256" t="s">
        <v>477</v>
      </c>
      <c r="H66" s="45"/>
      <c r="I66" s="41"/>
      <c r="J66" s="44"/>
      <c r="K66" s="41"/>
      <c r="L66" s="41"/>
      <c r="M66" s="41"/>
      <c r="N66" s="43"/>
      <c r="O66" s="43"/>
      <c r="P66" s="43"/>
      <c r="Q66" s="43"/>
      <c r="R66" s="43"/>
      <c r="S66" s="43"/>
      <c r="T66" s="43"/>
      <c r="U66" s="43"/>
      <c r="V66" s="43"/>
      <c r="W66" s="43" t="s">
        <v>106</v>
      </c>
      <c r="X66" s="43">
        <v>1.1000000000000001</v>
      </c>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3"/>
      <c r="DD66" s="43"/>
      <c r="DE66" s="43"/>
      <c r="DF66" s="43"/>
      <c r="DG66" s="43"/>
      <c r="DH66" s="43"/>
      <c r="DI66" s="43"/>
      <c r="DJ66" s="43"/>
      <c r="DK66" s="43"/>
      <c r="DL66" s="43"/>
      <c r="DM66" s="43"/>
      <c r="DN66" s="43"/>
      <c r="DO66" s="43"/>
      <c r="DP66" s="43"/>
      <c r="DQ66" s="43"/>
      <c r="DR66" s="43"/>
      <c r="DS66" s="43"/>
      <c r="DT66" s="43"/>
      <c r="DU66" s="43"/>
      <c r="DV66" s="43"/>
      <c r="DW66" s="43"/>
      <c r="DX66" s="43"/>
      <c r="DY66" s="43"/>
      <c r="DZ66" s="43"/>
      <c r="EA66" s="43"/>
      <c r="EB66" s="43"/>
      <c r="EC66" s="43"/>
      <c r="ED66" s="43"/>
      <c r="EE66" s="43"/>
      <c r="EF66" s="43"/>
      <c r="EG66" s="43"/>
      <c r="EH66" s="43"/>
      <c r="EI66" s="43"/>
      <c r="EJ66" s="43"/>
      <c r="EK66" s="43"/>
      <c r="EL66" s="43"/>
      <c r="EM66" s="43"/>
      <c r="EN66" s="43"/>
      <c r="EO66" s="43"/>
      <c r="EP66" s="43"/>
      <c r="EQ66" s="43"/>
      <c r="ER66" s="43"/>
      <c r="ES66" s="43"/>
      <c r="ET66" s="43"/>
      <c r="EU66" s="43"/>
      <c r="EV66" s="43"/>
      <c r="EW66" s="43"/>
      <c r="EX66" s="43"/>
      <c r="EY66" s="43"/>
      <c r="EZ66" s="43"/>
      <c r="FA66" s="43"/>
    </row>
    <row r="67" spans="1:157" ht="44.25" customHeight="1">
      <c r="A67" s="36" t="s">
        <v>347</v>
      </c>
      <c r="B67" s="417" t="s">
        <v>348</v>
      </c>
      <c r="D67" s="733" t="s">
        <v>154</v>
      </c>
      <c r="E67" s="733"/>
      <c r="F67" s="733"/>
      <c r="G67" s="256" t="str">
        <f ca="1">A232&amp;E232</f>
        <v>Heat pump type:Air to Water</v>
      </c>
      <c r="H67" s="45"/>
      <c r="I67" s="460" t="s">
        <v>487</v>
      </c>
      <c r="J67" s="461" t="s">
        <v>492</v>
      </c>
      <c r="K67" s="41"/>
      <c r="L67" s="41"/>
      <c r="M67" s="41"/>
      <c r="N67" s="43"/>
      <c r="O67" s="43"/>
      <c r="P67" s="43"/>
      <c r="Q67" s="43"/>
      <c r="R67" s="43"/>
      <c r="S67" s="43"/>
      <c r="T67" s="43"/>
      <c r="U67" s="43"/>
      <c r="V67" s="43"/>
      <c r="W67" s="43" t="s">
        <v>108</v>
      </c>
      <c r="X67" s="43">
        <v>1.1000000000000001</v>
      </c>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3"/>
      <c r="DD67" s="43"/>
      <c r="DE67" s="43"/>
      <c r="DF67" s="43"/>
      <c r="DG67" s="43"/>
      <c r="DH67" s="43"/>
      <c r="DI67" s="43"/>
      <c r="DJ67" s="43"/>
      <c r="DK67" s="43"/>
      <c r="DL67" s="43"/>
      <c r="DM67" s="43"/>
      <c r="DN67" s="43"/>
      <c r="DO67" s="43"/>
      <c r="DP67" s="43"/>
      <c r="DQ67" s="43"/>
      <c r="DR67" s="43"/>
      <c r="DS67" s="43"/>
      <c r="DT67" s="43"/>
      <c r="DU67" s="43"/>
      <c r="DV67" s="43"/>
      <c r="DW67" s="43"/>
      <c r="DX67" s="43"/>
      <c r="DY67" s="43"/>
      <c r="DZ67" s="43"/>
      <c r="EA67" s="43"/>
      <c r="EB67" s="43"/>
      <c r="EC67" s="43"/>
      <c r="ED67" s="43"/>
      <c r="EE67" s="43"/>
      <c r="EF67" s="43"/>
      <c r="EG67" s="43"/>
      <c r="EH67" s="43"/>
      <c r="EI67" s="43"/>
      <c r="EJ67" s="43"/>
      <c r="EK67" s="43"/>
      <c r="EL67" s="43"/>
      <c r="EM67" s="43"/>
      <c r="EN67" s="43"/>
      <c r="EO67" s="43"/>
      <c r="EP67" s="43"/>
      <c r="EQ67" s="43"/>
      <c r="ER67" s="43"/>
      <c r="ES67" s="43"/>
      <c r="ET67" s="43"/>
      <c r="EU67" s="43"/>
      <c r="EV67" s="43"/>
      <c r="EW67" s="43"/>
      <c r="EX67" s="43"/>
      <c r="EY67" s="43"/>
      <c r="EZ67" s="43"/>
      <c r="FA67" s="43"/>
    </row>
    <row r="68" spans="1:157" ht="133.15" customHeight="1" thickBot="1">
      <c r="A68" s="36" t="s">
        <v>155</v>
      </c>
      <c r="B68" s="418" t="s">
        <v>81</v>
      </c>
      <c r="D68" s="746" t="str">
        <f ca="1">IF(OR(N11&lt;&gt;TRUE,ISNUMBER(SEARCH($B68,E235))),
"",
"ERROR: Check the option selected for water heating standard. Valid option(s) for this heat pump type as follows: "&amp;CHAR(10)&amp;E235)</f>
        <v/>
      </c>
      <c r="E68" s="746"/>
      <c r="F68" s="746"/>
      <c r="G68" s="256" t="str">
        <f ca="1">A233&amp;E233</f>
        <v>Electric or GAHP:Electricity</v>
      </c>
      <c r="H68" s="45"/>
      <c r="I68" s="462">
        <f>IF($B$68&lt;&gt;"I.S. EN 14825/14511",1,1-($B$72-J68)/($B$72-$B$71))</f>
        <v>1</v>
      </c>
      <c r="J68" s="463">
        <f>MIN($B$84,IF($B$67="Same Heat Pump providing Space Heating and Domestic Hot Water",$B$25,1000))</f>
        <v>0</v>
      </c>
      <c r="K68" s="41"/>
      <c r="L68" s="41"/>
      <c r="M68" s="41"/>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3"/>
      <c r="DD68" s="43"/>
      <c r="DE68" s="43"/>
      <c r="DF68" s="43"/>
      <c r="DG68" s="43"/>
      <c r="DH68" s="43"/>
      <c r="DI68" s="43"/>
      <c r="DJ68" s="43"/>
      <c r="DK68" s="43"/>
      <c r="DL68" s="43"/>
      <c r="DM68" s="43"/>
      <c r="DN68" s="43"/>
      <c r="DO68" s="43"/>
      <c r="DP68" s="43"/>
      <c r="DQ68" s="43"/>
      <c r="DR68" s="43"/>
      <c r="DS68" s="43"/>
      <c r="DT68" s="43"/>
      <c r="DU68" s="43"/>
      <c r="DV68" s="43"/>
      <c r="DW68" s="43"/>
      <c r="DX68" s="43"/>
      <c r="DY68" s="43"/>
      <c r="DZ68" s="43"/>
      <c r="EA68" s="43"/>
      <c r="EB68" s="43"/>
      <c r="EC68" s="43"/>
      <c r="ED68" s="43"/>
      <c r="EE68" s="43"/>
      <c r="EF68" s="43"/>
      <c r="EG68" s="43"/>
      <c r="EH68" s="43"/>
      <c r="EI68" s="43"/>
      <c r="EJ68" s="43"/>
      <c r="EK68" s="43"/>
      <c r="EL68" s="43"/>
      <c r="EM68" s="43"/>
      <c r="EN68" s="43"/>
      <c r="EO68" s="43"/>
      <c r="EP68" s="43"/>
      <c r="EQ68" s="43"/>
      <c r="ER68" s="43"/>
      <c r="ES68" s="43"/>
      <c r="ET68" s="43"/>
      <c r="EU68" s="43"/>
      <c r="EV68" s="43"/>
      <c r="EW68" s="43"/>
      <c r="EX68" s="43"/>
      <c r="EY68" s="43"/>
      <c r="EZ68" s="43"/>
      <c r="FA68" s="43"/>
    </row>
    <row r="69" spans="1:157" ht="87" customHeight="1">
      <c r="A69" s="59" t="s">
        <v>545</v>
      </c>
      <c r="B69" s="421">
        <f>IF(B5="Yes",(1-DEAPEntries!B8)*DEAPEntries!B9*E192/DEAPEntries!I10,
                        (1-DEAPEntries!B8)*DEAPEntries!B9*E192)</f>
        <v>0</v>
      </c>
      <c r="C69" s="458" t="s">
        <v>42</v>
      </c>
      <c r="D69" s="741" t="s">
        <v>156</v>
      </c>
      <c r="E69" s="741"/>
      <c r="F69" s="741"/>
      <c r="G69" s="256" t="str">
        <f ca="1">A234&amp;E234</f>
        <v>Ecodesign based stds:Ecodesign applies and/or ecodesign data available</v>
      </c>
      <c r="H69" s="45"/>
      <c r="I69" s="44"/>
      <c r="J69" s="44"/>
      <c r="K69" s="41"/>
      <c r="L69" s="41"/>
      <c r="M69" s="41"/>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c r="CS69" s="43"/>
      <c r="CT69" s="43"/>
      <c r="CU69" s="43"/>
      <c r="CV69" s="43"/>
      <c r="CW69" s="43"/>
      <c r="CX69" s="43"/>
      <c r="CY69" s="43"/>
      <c r="CZ69" s="43"/>
      <c r="DA69" s="43"/>
      <c r="DB69" s="43"/>
      <c r="DC69" s="43"/>
      <c r="DD69" s="43"/>
      <c r="DE69" s="43"/>
      <c r="DF69" s="43"/>
      <c r="DG69" s="43"/>
      <c r="DH69" s="43"/>
      <c r="DI69" s="43"/>
      <c r="DJ69" s="43"/>
      <c r="DK69" s="43"/>
      <c r="DL69" s="43"/>
      <c r="DM69" s="43"/>
      <c r="DN69" s="43"/>
      <c r="DO69" s="43"/>
      <c r="DP69" s="43"/>
      <c r="DQ69" s="43"/>
      <c r="DR69" s="43"/>
      <c r="DS69" s="43"/>
      <c r="DT69" s="43"/>
      <c r="DU69" s="43"/>
      <c r="DV69" s="43"/>
      <c r="DW69" s="43"/>
      <c r="DX69" s="43"/>
      <c r="DY69" s="43"/>
      <c r="DZ69" s="43"/>
      <c r="EA69" s="43"/>
      <c r="EB69" s="43"/>
      <c r="EC69" s="43"/>
      <c r="ED69" s="43"/>
      <c r="EE69" s="43"/>
      <c r="EF69" s="43"/>
      <c r="EG69" s="43"/>
      <c r="EH69" s="43"/>
      <c r="EI69" s="43"/>
      <c r="EJ69" s="43"/>
      <c r="EK69" s="43"/>
      <c r="EL69" s="43"/>
      <c r="EM69" s="43"/>
      <c r="EN69" s="43"/>
      <c r="EO69" s="43"/>
      <c r="EP69" s="43"/>
      <c r="EQ69" s="43"/>
      <c r="ER69" s="43"/>
      <c r="ES69" s="43"/>
      <c r="ET69" s="43"/>
      <c r="EU69" s="43"/>
      <c r="EV69" s="43"/>
      <c r="EW69" s="43"/>
      <c r="EX69" s="43"/>
      <c r="EY69" s="43"/>
      <c r="EZ69" s="43"/>
      <c r="FA69" s="43"/>
    </row>
    <row r="70" spans="1:157" ht="30.75" customHeight="1">
      <c r="A70" s="60" t="s">
        <v>157</v>
      </c>
      <c r="B70" s="417" t="s">
        <v>77</v>
      </c>
      <c r="C70" s="458"/>
      <c r="D70" s="741" t="s">
        <v>158</v>
      </c>
      <c r="E70" s="741"/>
      <c r="F70" s="741"/>
      <c r="G70" s="257"/>
      <c r="H70" s="45"/>
      <c r="I70" s="41"/>
      <c r="J70" s="58"/>
      <c r="K70" s="57"/>
      <c r="L70" s="57"/>
      <c r="M70" s="57"/>
      <c r="O70" s="53"/>
      <c r="P70" s="43"/>
    </row>
    <row r="71" spans="1:157" ht="31.5" customHeight="1">
      <c r="A71" s="62" t="s">
        <v>159</v>
      </c>
      <c r="B71" s="480">
        <v>10</v>
      </c>
      <c r="C71" s="459" t="s">
        <v>113</v>
      </c>
      <c r="D71" s="741" t="s">
        <v>160</v>
      </c>
      <c r="E71" s="741"/>
      <c r="F71" s="741"/>
      <c r="G71" s="62"/>
      <c r="H71" s="56"/>
      <c r="I71" s="61"/>
      <c r="J71" s="58"/>
      <c r="K71" s="57"/>
      <c r="L71" s="57"/>
      <c r="M71" s="57"/>
      <c r="O71" s="43"/>
      <c r="P71" s="43"/>
    </row>
    <row r="72" spans="1:157" ht="31.5" customHeight="1">
      <c r="A72" s="62" t="s">
        <v>161</v>
      </c>
      <c r="B72" s="430">
        <f>IF(OR(B70="No Hot Water Store",B70="Integral Hot Water Storage"),60,65)</f>
        <v>65</v>
      </c>
      <c r="C72" s="459" t="s">
        <v>113</v>
      </c>
      <c r="D72" s="741" t="s">
        <v>162</v>
      </c>
      <c r="E72" s="741"/>
      <c r="F72" s="741"/>
      <c r="G72" s="62"/>
      <c r="H72" s="56" t="s">
        <v>1</v>
      </c>
      <c r="I72" s="57"/>
      <c r="J72" s="58"/>
      <c r="K72" s="41"/>
      <c r="L72" s="41"/>
      <c r="M72" s="41"/>
      <c r="O72" s="43"/>
      <c r="P72" s="43"/>
      <c r="U72" s="65"/>
      <c r="V72" s="65"/>
      <c r="W72" s="65"/>
    </row>
    <row r="73" spans="1:157" ht="31.5" customHeight="1">
      <c r="A73" s="60" t="s">
        <v>163</v>
      </c>
      <c r="B73" s="481">
        <f>DEAPEntries!B12</f>
        <v>0</v>
      </c>
      <c r="C73" s="458" t="str">
        <f>DEAPEntries!E12</f>
        <v>litres</v>
      </c>
      <c r="D73" s="741" t="str">
        <f>DEAPEntries!F12</f>
        <v>Sourced from DEAP: Water Heating: options and storage (or WH tab in DEAP workbook)</v>
      </c>
      <c r="E73" s="741">
        <f>DEAPEntries!G12</f>
        <v>0</v>
      </c>
      <c r="F73" s="741">
        <f>DEAPEntries!H12</f>
        <v>0</v>
      </c>
      <c r="H73" s="56"/>
      <c r="I73" s="57"/>
      <c r="J73" s="58"/>
      <c r="K73" s="57"/>
      <c r="L73" s="57"/>
      <c r="M73" s="57"/>
      <c r="N73" s="53"/>
      <c r="O73" s="43"/>
      <c r="P73" s="4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row>
    <row r="74" spans="1:157" ht="30" customHeight="1">
      <c r="A74" s="64" t="s">
        <v>164</v>
      </c>
      <c r="B74" s="432" t="s">
        <v>38</v>
      </c>
      <c r="D74" s="733" t="s">
        <v>139</v>
      </c>
      <c r="E74" s="733"/>
      <c r="F74" s="733"/>
      <c r="H74" s="56"/>
      <c r="I74" s="57"/>
      <c r="J74" s="58"/>
      <c r="K74" s="41"/>
      <c r="L74" s="41"/>
      <c r="M74" s="41"/>
    </row>
    <row r="75" spans="1:157" ht="30" customHeight="1">
      <c r="A75" s="60" t="s">
        <v>165</v>
      </c>
      <c r="B75" s="429" t="s">
        <v>44</v>
      </c>
      <c r="D75" s="733" t="s">
        <v>139</v>
      </c>
      <c r="E75" s="733"/>
      <c r="F75" s="733"/>
      <c r="H75" s="56"/>
      <c r="I75" s="57"/>
      <c r="J75" s="58"/>
      <c r="K75" s="41"/>
      <c r="L75" s="41"/>
      <c r="M75" s="41"/>
    </row>
    <row r="76" spans="1:157" ht="30" customHeight="1">
      <c r="A76" s="60" t="s">
        <v>166</v>
      </c>
      <c r="B76" s="430">
        <f>VLOOKUP(B75,W2:X12,2,)</f>
        <v>2.08</v>
      </c>
      <c r="H76" s="56"/>
      <c r="I76" s="57"/>
      <c r="J76" s="58"/>
      <c r="K76" s="57"/>
      <c r="L76" s="57"/>
      <c r="M76" s="57"/>
      <c r="O76" s="53"/>
      <c r="P76" s="43"/>
      <c r="U76" s="53"/>
      <c r="V76" s="53"/>
      <c r="W76" s="53"/>
    </row>
    <row r="77" spans="1:157" ht="83.25" customHeight="1">
      <c r="A77" s="62" t="s">
        <v>167</v>
      </c>
      <c r="B77" s="434"/>
      <c r="C77" s="458" t="s">
        <v>92</v>
      </c>
      <c r="D77" s="733" t="s">
        <v>143</v>
      </c>
      <c r="E77" s="733"/>
      <c r="F77" s="733"/>
      <c r="H77" s="56"/>
      <c r="I77" s="57"/>
      <c r="J77" s="58"/>
      <c r="K77" s="57"/>
      <c r="L77" s="57"/>
      <c r="M77" s="57"/>
      <c r="N77" s="53"/>
      <c r="O77" s="53"/>
      <c r="P77" s="4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row>
    <row r="78" spans="1:157" s="53" customFormat="1" ht="29.25" customHeight="1">
      <c r="A78" s="64" t="s">
        <v>427</v>
      </c>
      <c r="B78" s="433">
        <f>IF(B74="Yes",(G65/B76)*B77,1)</f>
        <v>1</v>
      </c>
      <c r="D78" s="35"/>
      <c r="E78" s="35"/>
      <c r="F78" s="35"/>
      <c r="H78" s="56"/>
      <c r="I78" s="57"/>
      <c r="J78" s="58"/>
      <c r="K78" s="41"/>
      <c r="L78" s="41"/>
      <c r="M78" s="41"/>
      <c r="P78" s="43"/>
      <c r="U78" s="34"/>
      <c r="V78" s="34"/>
      <c r="W78" s="34"/>
    </row>
    <row r="79" spans="1:157" ht="31.5" customHeight="1">
      <c r="A79" s="67"/>
      <c r="B79" s="68"/>
      <c r="C79" s="67"/>
      <c r="D79" s="35"/>
      <c r="E79" s="35"/>
      <c r="F79" s="35"/>
      <c r="G79" s="53"/>
      <c r="H79" s="56"/>
      <c r="I79" s="57"/>
      <c r="J79" s="58"/>
      <c r="K79" s="57"/>
      <c r="L79" s="57"/>
      <c r="M79" s="57"/>
      <c r="O79" s="43"/>
      <c r="P79" s="43"/>
    </row>
    <row r="80" spans="1:157" ht="57.6" customHeight="1" thickBot="1">
      <c r="A80" s="192" t="s">
        <v>619</v>
      </c>
      <c r="D80" s="772"/>
      <c r="E80" s="772"/>
      <c r="F80" s="772"/>
      <c r="G80" s="772"/>
      <c r="H80" s="56"/>
      <c r="I80" s="57"/>
      <c r="J80" s="91"/>
      <c r="K80" s="88"/>
      <c r="L80" s="88"/>
      <c r="M80" s="88"/>
      <c r="N80" s="43"/>
      <c r="O80" s="43"/>
      <c r="P80" s="43"/>
      <c r="Q80" s="43"/>
      <c r="R80" s="43"/>
      <c r="S80" s="43"/>
      <c r="T80" s="43"/>
      <c r="U80" s="53"/>
    </row>
    <row r="81" spans="1:21" ht="30.75" customHeight="1">
      <c r="A81" s="482" t="s">
        <v>168</v>
      </c>
      <c r="B81" s="471" t="s">
        <v>463</v>
      </c>
      <c r="C81" s="472" t="s">
        <v>1</v>
      </c>
      <c r="D81" s="735" t="s">
        <v>428</v>
      </c>
      <c r="E81" s="735"/>
      <c r="F81" s="735"/>
      <c r="H81" s="56"/>
      <c r="I81" s="57"/>
      <c r="J81" s="87"/>
      <c r="K81" s="83"/>
      <c r="L81" s="83"/>
      <c r="M81" s="83"/>
      <c r="N81" s="43"/>
      <c r="O81" s="43"/>
      <c r="P81" s="43"/>
      <c r="Q81" s="43"/>
      <c r="R81" s="43"/>
      <c r="S81" s="43"/>
      <c r="T81" s="43"/>
      <c r="U81" s="43"/>
    </row>
    <row r="82" spans="1:21" ht="30.75" customHeight="1">
      <c r="A82" s="465" t="str">
        <f>B81</f>
        <v>Water heating energy efficiency, ηwh</v>
      </c>
      <c r="B82" s="473"/>
      <c r="C82" s="472" t="str">
        <f>IF(B81="Coefficient of Performance, COP","kW/kW","%")</f>
        <v>%</v>
      </c>
      <c r="D82" s="735" t="s">
        <v>428</v>
      </c>
      <c r="E82" s="735"/>
      <c r="F82" s="735"/>
      <c r="H82" s="56"/>
      <c r="I82" s="57"/>
      <c r="J82" s="89"/>
      <c r="K82" s="81"/>
      <c r="L82" s="81"/>
      <c r="M82" s="81"/>
      <c r="N82" s="43"/>
      <c r="O82" s="43"/>
      <c r="P82" s="43"/>
      <c r="Q82" s="43"/>
      <c r="R82" s="43"/>
      <c r="S82" s="43"/>
      <c r="T82" s="43"/>
      <c r="U82" s="43"/>
    </row>
    <row r="83" spans="1:21" ht="30.75" customHeight="1">
      <c r="A83" s="465" t="s">
        <v>169</v>
      </c>
      <c r="B83" s="474">
        <f>IF(B81="Coefficient of Performance, COP",B82,IF(G63=Q3,B82/100,B82*2.5/100))</f>
        <v>0</v>
      </c>
      <c r="C83" s="472" t="s">
        <v>170</v>
      </c>
      <c r="D83" s="475"/>
      <c r="E83" s="475"/>
      <c r="F83" s="475"/>
      <c r="H83" s="56"/>
      <c r="I83" s="57"/>
      <c r="J83" s="91"/>
      <c r="K83" s="88"/>
      <c r="L83" s="88"/>
      <c r="M83" s="88"/>
      <c r="N83" s="43"/>
      <c r="O83" s="43"/>
      <c r="P83" s="43"/>
      <c r="Q83" s="43"/>
      <c r="R83" s="43"/>
      <c r="S83" s="43"/>
      <c r="T83" s="43"/>
      <c r="U83" s="43"/>
    </row>
    <row r="84" spans="1:21" ht="98.45" customHeight="1">
      <c r="A84" s="465" t="s">
        <v>171</v>
      </c>
      <c r="B84" s="473"/>
      <c r="C84" s="476" t="s">
        <v>113</v>
      </c>
      <c r="D84" s="735" t="s">
        <v>429</v>
      </c>
      <c r="E84" s="735"/>
      <c r="F84" s="735"/>
      <c r="G84" s="134" t="str">
        <f>IF(AND(B84&gt;=52,B67="Same Heat Pump providing Space Heating and Domestic Hot Water",G10="Low temperature heat pump"),"WARNING:Where I.S. EN 14825/14511 is the water heating test standard, the low temperature heat pump may be used to provide DHW, however, hot water temperature must not exceed 52 degrees in this case. ",".")</f>
        <v>.</v>
      </c>
      <c r="H84" s="56"/>
      <c r="I84" s="57"/>
      <c r="J84" s="91"/>
      <c r="K84" s="88"/>
      <c r="L84" s="88"/>
      <c r="M84" s="88"/>
      <c r="N84" s="43"/>
      <c r="O84" s="43"/>
      <c r="P84" s="43"/>
      <c r="Q84" s="43"/>
      <c r="R84" s="43"/>
      <c r="S84" s="43"/>
      <c r="T84" s="43"/>
      <c r="U84" s="53"/>
    </row>
    <row r="85" spans="1:21" ht="64.900000000000006" customHeight="1">
      <c r="A85" s="465" t="s">
        <v>172</v>
      </c>
      <c r="B85" s="477">
        <f>IF(B65=S1,7,IF(B65=S3,10,IF(B65=S4,20,IF(B65=S5,4,0))))</f>
        <v>7</v>
      </c>
      <c r="C85" s="476" t="s">
        <v>113</v>
      </c>
      <c r="D85" s="735" t="s">
        <v>430</v>
      </c>
      <c r="E85" s="735"/>
      <c r="F85" s="735"/>
      <c r="G85" s="134"/>
      <c r="H85" s="56"/>
      <c r="I85" s="57"/>
      <c r="J85" s="91"/>
      <c r="K85" s="88"/>
      <c r="L85" s="88"/>
      <c r="M85" s="88"/>
      <c r="N85" s="43"/>
      <c r="O85" s="43"/>
      <c r="P85" s="43"/>
      <c r="Q85" s="43"/>
      <c r="R85" s="43"/>
      <c r="S85" s="43"/>
      <c r="T85" s="43"/>
      <c r="U85" s="53"/>
    </row>
    <row r="86" spans="1:21" ht="30.75" customHeight="1">
      <c r="A86" s="465" t="s">
        <v>173</v>
      </c>
      <c r="B86" s="473"/>
      <c r="C86" s="472" t="s">
        <v>174</v>
      </c>
      <c r="D86" s="735" t="s">
        <v>431</v>
      </c>
      <c r="E86" s="735"/>
      <c r="F86" s="735"/>
      <c r="H86" s="56"/>
      <c r="I86" s="57"/>
      <c r="J86" s="87"/>
      <c r="K86" s="83"/>
      <c r="L86" s="83"/>
      <c r="M86" s="83"/>
      <c r="N86" s="43"/>
      <c r="O86" s="43"/>
      <c r="P86" s="43"/>
      <c r="Q86" s="43"/>
      <c r="R86" s="43"/>
      <c r="S86" s="43"/>
      <c r="T86" s="53"/>
      <c r="U86" s="43"/>
    </row>
    <row r="87" spans="1:21" ht="44.45" customHeight="1">
      <c r="A87" s="468" t="s">
        <v>175</v>
      </c>
      <c r="B87" s="478" t="s">
        <v>91</v>
      </c>
      <c r="C87" s="472"/>
      <c r="D87" s="735" t="s">
        <v>431</v>
      </c>
      <c r="E87" s="735"/>
      <c r="F87" s="735"/>
      <c r="G87" s="134" t="str">
        <f>IF(AND(B87&lt;&gt;"",$B$68="I.S. EN 14825/14511"),"Note: 'load profile', 'standby heat loss' and 'volume of DHW accounted for in test' are irrelevant for test data based on I.S. EN 14825/14511.","")</f>
        <v/>
      </c>
      <c r="H87" s="56"/>
      <c r="I87" s="57"/>
      <c r="J87" s="89"/>
      <c r="K87" s="81"/>
      <c r="L87" s="81"/>
      <c r="M87" s="81"/>
      <c r="N87" s="43"/>
      <c r="O87" s="43"/>
      <c r="P87" s="43"/>
      <c r="Q87" s="43"/>
      <c r="R87" s="43"/>
      <c r="S87" s="43"/>
      <c r="T87" s="53"/>
      <c r="U87" s="53"/>
    </row>
    <row r="88" spans="1:21" ht="45.6" customHeight="1">
      <c r="A88" s="468" t="s">
        <v>176</v>
      </c>
      <c r="B88" s="478"/>
      <c r="C88" s="472" t="s">
        <v>177</v>
      </c>
      <c r="D88" s="735" t="s">
        <v>432</v>
      </c>
      <c r="E88" s="735"/>
      <c r="F88" s="735"/>
      <c r="G88" s="134" t="str">
        <f>IF(AND(B88&lt;&gt;"",$B$68="I.S. EN 14825/14511"),"Note: 'load profile', 'standby heat loss' and 'volume of DHW accounted for in test' are irrelevant for test data based on I.S. EN 14825/14511.","")</f>
        <v/>
      </c>
      <c r="H88" s="56"/>
      <c r="I88" s="57"/>
      <c r="J88" s="91"/>
      <c r="K88" s="57"/>
      <c r="L88" s="57"/>
      <c r="M88" s="57"/>
      <c r="N88" s="43"/>
      <c r="O88" s="43"/>
      <c r="P88" s="43"/>
      <c r="Q88" s="43"/>
      <c r="R88" s="43"/>
      <c r="S88" s="43"/>
      <c r="T88" s="53"/>
      <c r="U88" s="53"/>
    </row>
    <row r="89" spans="1:21" ht="54.6" customHeight="1" thickBot="1">
      <c r="A89" s="469" t="s">
        <v>178</v>
      </c>
      <c r="B89" s="479"/>
      <c r="C89" s="472" t="s">
        <v>179</v>
      </c>
      <c r="D89" s="735" t="s">
        <v>428</v>
      </c>
      <c r="E89" s="735"/>
      <c r="F89" s="735"/>
      <c r="G89" s="134" t="str">
        <f>IF(AND(B89&lt;&gt;"",$B$68="I.S. EN 14825/14511"),"Note: 'load profile', 'standby heat loss' and 'volume of DHW accounted for in test' are irrelevant for test data based on I.S. EN 14825/14511.","")</f>
        <v/>
      </c>
      <c r="H89" s="56"/>
      <c r="I89" s="57"/>
      <c r="J89" s="91"/>
      <c r="K89" s="57"/>
      <c r="L89" s="57"/>
      <c r="M89" s="57"/>
      <c r="N89" s="43"/>
      <c r="O89" s="43"/>
      <c r="P89" s="43"/>
      <c r="Q89" s="43"/>
      <c r="R89" s="43"/>
      <c r="S89" s="43"/>
      <c r="T89" s="53"/>
      <c r="U89" s="53"/>
    </row>
    <row r="90" spans="1:21" ht="48" customHeight="1">
      <c r="A90" s="564" t="s">
        <v>620</v>
      </c>
      <c r="D90" s="772" t="str">
        <f ca="1">IF(B5="Yes","NOTE: Assessor must verify that the installed storage volume is greater than used in test results",IF(E219&gt;0,E221,IF(E220&gt;0,E222,"")))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E90" s="772"/>
      <c r="F90" s="772"/>
      <c r="G90" s="772"/>
      <c r="H90" s="56"/>
      <c r="I90" s="57"/>
      <c r="J90" s="91"/>
      <c r="K90" s="41"/>
      <c r="L90" s="41"/>
      <c r="M90" s="41"/>
      <c r="N90" s="43"/>
      <c r="O90" s="43"/>
      <c r="P90" s="43"/>
      <c r="Q90" s="43"/>
      <c r="R90" s="43"/>
      <c r="S90" s="43"/>
      <c r="T90" s="53"/>
      <c r="U90" s="53"/>
    </row>
    <row r="91" spans="1:21" ht="30.75" customHeight="1" thickBot="1">
      <c r="A91" s="74" t="s">
        <v>180</v>
      </c>
      <c r="H91" s="56"/>
      <c r="I91" s="57"/>
      <c r="J91" s="85"/>
      <c r="K91" s="83"/>
      <c r="L91" s="83"/>
      <c r="M91" s="83"/>
      <c r="N91" s="43"/>
      <c r="O91" s="43"/>
      <c r="P91" s="43"/>
      <c r="Q91" s="43"/>
      <c r="R91" s="43"/>
      <c r="S91" s="43"/>
      <c r="T91" s="43"/>
      <c r="U91" s="53"/>
    </row>
    <row r="92" spans="1:21" ht="30.75" customHeight="1">
      <c r="A92" s="446" t="s">
        <v>181</v>
      </c>
      <c r="B92" s="483" t="s">
        <v>37</v>
      </c>
      <c r="C92" s="458"/>
      <c r="H92" s="56"/>
      <c r="I92" s="57"/>
      <c r="J92" s="87"/>
      <c r="K92" s="83"/>
      <c r="L92" s="83"/>
      <c r="M92" s="83"/>
      <c r="N92" s="43"/>
      <c r="O92" s="43"/>
      <c r="P92" s="43"/>
      <c r="Q92" s="43"/>
      <c r="R92" s="43"/>
      <c r="S92" s="43"/>
      <c r="T92" s="43"/>
      <c r="U92" s="53"/>
    </row>
    <row r="93" spans="1:21" ht="30.75" customHeight="1">
      <c r="A93" s="447" t="s">
        <v>182</v>
      </c>
      <c r="B93" s="466">
        <v>3.33</v>
      </c>
      <c r="C93" s="458" t="s">
        <v>170</v>
      </c>
      <c r="D93" s="733" t="s">
        <v>183</v>
      </c>
      <c r="E93" s="733"/>
      <c r="F93" s="733"/>
      <c r="H93" s="56"/>
      <c r="I93" s="57"/>
      <c r="J93" s="87"/>
      <c r="K93" s="83"/>
      <c r="L93" s="83"/>
      <c r="M93" s="83"/>
      <c r="N93" s="43"/>
      <c r="O93" s="43"/>
      <c r="P93" s="43"/>
      <c r="Q93" s="43"/>
      <c r="R93" s="43"/>
      <c r="S93" s="43"/>
      <c r="T93" s="43"/>
      <c r="U93" s="53"/>
    </row>
    <row r="94" spans="1:21" ht="30.75" customHeight="1">
      <c r="A94" s="465" t="s">
        <v>184</v>
      </c>
      <c r="B94" s="442" t="s">
        <v>37</v>
      </c>
      <c r="C94" s="458"/>
      <c r="D94" s="733" t="s">
        <v>185</v>
      </c>
      <c r="E94" s="733"/>
      <c r="F94" s="733"/>
      <c r="H94" s="56"/>
      <c r="I94" s="57"/>
      <c r="J94" s="87"/>
      <c r="K94" s="83"/>
      <c r="L94" s="83"/>
      <c r="M94" s="83"/>
      <c r="N94" s="43"/>
      <c r="O94" s="43"/>
      <c r="P94" s="43"/>
      <c r="Q94" s="43"/>
      <c r="R94" s="43"/>
      <c r="S94" s="43"/>
      <c r="T94" s="43"/>
      <c r="U94" s="43"/>
    </row>
    <row r="95" spans="1:21" ht="30.75" customHeight="1">
      <c r="A95" s="465" t="s">
        <v>186</v>
      </c>
      <c r="B95" s="442" t="s">
        <v>38</v>
      </c>
      <c r="C95" s="484" t="s">
        <v>1</v>
      </c>
      <c r="D95" s="733" t="s">
        <v>185</v>
      </c>
      <c r="E95" s="733"/>
      <c r="F95" s="733"/>
      <c r="H95" s="56"/>
      <c r="I95" s="57"/>
      <c r="J95" s="89"/>
      <c r="K95" s="81"/>
      <c r="L95" s="81"/>
      <c r="M95" s="81"/>
      <c r="N95" s="43"/>
      <c r="O95" s="43"/>
      <c r="P95" s="43"/>
      <c r="Q95" s="43"/>
      <c r="R95" s="43"/>
      <c r="S95" s="43"/>
      <c r="T95" s="43"/>
      <c r="U95" s="43"/>
    </row>
    <row r="96" spans="1:21" ht="30.75" customHeight="1" thickBot="1">
      <c r="A96" s="469" t="str">
        <f>IF(B72=65,"Does heat pump reach a flow temperature of &gt;=65oC","Does heat pump reach a flow temperature of &gt;=60oC")</f>
        <v>Does heat pump reach a flow temperature of &gt;=65oC</v>
      </c>
      <c r="B96" s="439" t="s">
        <v>37</v>
      </c>
      <c r="C96" s="484" t="s">
        <v>1</v>
      </c>
      <c r="D96" s="733" t="s">
        <v>187</v>
      </c>
      <c r="E96" s="733"/>
      <c r="F96" s="733"/>
      <c r="H96" s="56"/>
      <c r="I96" s="57"/>
      <c r="J96" s="91"/>
      <c r="K96" s="88"/>
      <c r="L96" s="88"/>
      <c r="M96" s="88"/>
      <c r="N96" s="43"/>
      <c r="O96" s="43"/>
      <c r="P96" s="43"/>
      <c r="Q96" s="43"/>
      <c r="R96" s="43"/>
      <c r="S96" s="43"/>
      <c r="T96" s="43"/>
      <c r="U96" s="53"/>
    </row>
    <row r="97" spans="1:21" ht="30.75" customHeight="1">
      <c r="H97" s="56"/>
      <c r="I97" s="57"/>
      <c r="J97" s="91"/>
      <c r="K97" s="88"/>
      <c r="L97" s="88"/>
      <c r="M97" s="88"/>
      <c r="N97" s="43"/>
      <c r="O97" s="43"/>
      <c r="P97" s="43"/>
      <c r="Q97" s="43"/>
      <c r="R97" s="43"/>
      <c r="S97" s="43"/>
      <c r="T97" s="43"/>
      <c r="U97" s="53"/>
    </row>
    <row r="98" spans="1:21" ht="33" customHeight="1">
      <c r="H98" s="56"/>
      <c r="I98" s="57"/>
      <c r="J98" s="58"/>
      <c r="K98" s="41"/>
      <c r="L98" s="41"/>
      <c r="M98" s="41"/>
      <c r="N98" s="43"/>
      <c r="O98" s="43"/>
      <c r="P98" s="43"/>
      <c r="Q98" s="43"/>
      <c r="R98" s="43"/>
      <c r="S98" s="43"/>
      <c r="T98" s="53"/>
      <c r="U98" s="53"/>
    </row>
    <row r="99" spans="1:21" ht="33" customHeight="1" thickBot="1">
      <c r="A99" s="74" t="s">
        <v>188</v>
      </c>
      <c r="H99" s="56"/>
      <c r="I99" s="57"/>
      <c r="J99" s="58"/>
      <c r="K99" s="41"/>
      <c r="L99" s="41"/>
      <c r="M99" s="41"/>
    </row>
    <row r="100" spans="1:21" ht="33" customHeight="1">
      <c r="A100" s="464" t="s">
        <v>189</v>
      </c>
      <c r="B100" s="485">
        <v>3.2</v>
      </c>
      <c r="C100" s="458" t="s">
        <v>170</v>
      </c>
      <c r="D100" s="733" t="s">
        <v>190</v>
      </c>
      <c r="E100" s="733"/>
      <c r="F100" s="733"/>
      <c r="H100" s="56"/>
      <c r="I100" s="57"/>
      <c r="J100" s="75"/>
      <c r="K100" s="57"/>
      <c r="L100" s="57"/>
      <c r="M100" s="41"/>
      <c r="N100" s="34" t="s">
        <v>1</v>
      </c>
    </row>
    <row r="101" spans="1:21" ht="37.5" customHeight="1">
      <c r="A101" s="465" t="s">
        <v>171</v>
      </c>
      <c r="B101" s="466">
        <v>54</v>
      </c>
      <c r="C101" s="459" t="s">
        <v>113</v>
      </c>
      <c r="D101" s="733" t="s">
        <v>191</v>
      </c>
      <c r="E101" s="733"/>
      <c r="F101" s="733"/>
      <c r="H101" s="56"/>
      <c r="I101" s="57"/>
      <c r="J101" s="58"/>
      <c r="K101" s="57"/>
      <c r="L101" s="57"/>
      <c r="M101" s="57"/>
      <c r="N101" s="34" t="s">
        <v>1</v>
      </c>
    </row>
    <row r="102" spans="1:21" ht="31.5" customHeight="1" thickBot="1">
      <c r="A102" s="469" t="s">
        <v>192</v>
      </c>
      <c r="B102" s="470">
        <v>7</v>
      </c>
      <c r="C102" s="458" t="s">
        <v>174</v>
      </c>
      <c r="D102" s="733" t="s">
        <v>190</v>
      </c>
      <c r="E102" s="733"/>
      <c r="F102" s="733"/>
      <c r="H102" s="56"/>
      <c r="I102" s="57"/>
      <c r="J102" s="58"/>
      <c r="K102" s="57"/>
      <c r="L102" s="57"/>
      <c r="M102" s="57"/>
    </row>
    <row r="103" spans="1:21" ht="31.5" customHeight="1" thickBot="1">
      <c r="H103" s="56"/>
      <c r="I103" s="57"/>
      <c r="J103" s="58"/>
      <c r="K103" s="57"/>
      <c r="L103" s="57"/>
      <c r="M103" s="57"/>
    </row>
    <row r="104" spans="1:21" ht="31.5" customHeight="1" thickBot="1">
      <c r="A104" s="55" t="s">
        <v>478</v>
      </c>
      <c r="B104" s="71"/>
      <c r="C104" s="71"/>
      <c r="D104" s="42"/>
      <c r="E104" s="42"/>
      <c r="F104" s="42"/>
      <c r="G104" s="42"/>
      <c r="H104" s="42"/>
      <c r="I104" s="42"/>
      <c r="J104" s="58"/>
      <c r="K104" s="57"/>
      <c r="L104" s="57"/>
      <c r="M104" s="57"/>
    </row>
    <row r="105" spans="1:21" ht="31.5" customHeight="1" thickBot="1">
      <c r="A105" s="92" t="s">
        <v>49</v>
      </c>
      <c r="H105" s="56"/>
      <c r="I105" s="57"/>
      <c r="J105" s="58"/>
      <c r="K105" s="57"/>
      <c r="L105" s="57"/>
      <c r="M105" s="57"/>
    </row>
    <row r="106" spans="1:21" ht="31.5" customHeight="1">
      <c r="A106" s="486" t="s">
        <v>193</v>
      </c>
      <c r="B106" s="487" t="e">
        <f ca="1">IF(OR(B14=N1,B14=N2, B14=N3),E201,B93)</f>
        <v>#VALUE!</v>
      </c>
      <c r="C106" s="458" t="s">
        <v>92</v>
      </c>
      <c r="D106" s="734"/>
      <c r="E106" s="734"/>
      <c r="F106" s="734"/>
      <c r="G106" s="458" t="s">
        <v>1</v>
      </c>
      <c r="H106" s="488"/>
      <c r="I106" s="489"/>
      <c r="J106" s="58"/>
      <c r="K106" s="57"/>
      <c r="L106" s="57"/>
      <c r="M106" s="57"/>
    </row>
    <row r="107" spans="1:21" ht="31.5" customHeight="1">
      <c r="A107" s="490" t="s">
        <v>194</v>
      </c>
      <c r="B107" s="491">
        <f>IF(OR(B14=N1,B14=N2, B14=N3),1,IF(B25=35,1,IF(B25&lt;50,0.85,IF(B94="Yes",0.75,0.7))))</f>
        <v>1</v>
      </c>
      <c r="C107" s="458"/>
      <c r="D107" s="734"/>
      <c r="E107" s="734"/>
      <c r="F107" s="734"/>
      <c r="G107" s="458"/>
      <c r="H107" s="488"/>
      <c r="I107" s="489"/>
      <c r="J107" s="58"/>
      <c r="K107" s="57"/>
      <c r="L107" s="57"/>
      <c r="M107" s="57"/>
    </row>
    <row r="108" spans="1:21" ht="31.5" customHeight="1">
      <c r="A108" s="490" t="s">
        <v>195</v>
      </c>
      <c r="B108" s="492" t="e">
        <f ca="1">IF(OR(B68=N5,B68=N7, B68=N8),E213,IF(B68="I.S. EN 255-3",E217,E218))</f>
        <v>#DIV/0!</v>
      </c>
      <c r="C108" s="458" t="s">
        <v>92</v>
      </c>
      <c r="D108" s="734"/>
      <c r="E108" s="734"/>
      <c r="F108" s="734"/>
      <c r="G108" s="458"/>
      <c r="H108" s="488"/>
      <c r="I108" s="489"/>
      <c r="J108" s="75"/>
      <c r="K108" s="57"/>
      <c r="L108" s="57"/>
      <c r="M108" s="57"/>
    </row>
    <row r="109" spans="1:21" ht="31.5" customHeight="1" thickBot="1">
      <c r="A109" s="493" t="s">
        <v>196</v>
      </c>
      <c r="B109" s="494">
        <f>IF(B68="I.S. EN 14511",IF(AND(B95="No",B96="Yes"),0.7,1),1)</f>
        <v>1</v>
      </c>
      <c r="C109" s="458"/>
      <c r="D109" s="734"/>
      <c r="E109" s="734"/>
      <c r="F109" s="734"/>
      <c r="G109" s="458"/>
      <c r="H109" s="488"/>
      <c r="I109" s="489"/>
      <c r="J109" s="75"/>
      <c r="K109" s="57"/>
      <c r="L109" s="57"/>
      <c r="M109" s="57"/>
    </row>
    <row r="110" spans="1:21" ht="16.5" thickBot="1">
      <c r="A110" s="458"/>
      <c r="B110" s="458"/>
      <c r="C110" s="458"/>
      <c r="D110" s="467"/>
      <c r="E110" s="467"/>
      <c r="F110" s="467"/>
      <c r="G110" s="489"/>
      <c r="H110" s="488"/>
      <c r="I110" s="489"/>
      <c r="J110" s="75"/>
      <c r="K110" s="57"/>
      <c r="L110" s="57"/>
      <c r="M110" s="57"/>
    </row>
    <row r="111" spans="1:21" ht="31.5" customHeight="1" thickBot="1">
      <c r="A111" s="495" t="s">
        <v>331</v>
      </c>
      <c r="B111" s="496">
        <f ca="1">MAX(E207,0)</f>
        <v>1</v>
      </c>
      <c r="C111" s="467" t="s">
        <v>462</v>
      </c>
      <c r="D111" s="467"/>
      <c r="E111" s="467"/>
      <c r="F111" s="467"/>
      <c r="G111" s="497" t="s">
        <v>495</v>
      </c>
      <c r="H111" s="488"/>
      <c r="I111" s="489"/>
      <c r="J111" s="75"/>
      <c r="K111" s="57"/>
      <c r="L111" s="57"/>
      <c r="M111" s="57"/>
    </row>
    <row r="112" spans="1:21" ht="36.75" customHeight="1" thickBot="1">
      <c r="A112" s="495" t="s">
        <v>332</v>
      </c>
      <c r="B112" s="496">
        <f ca="1">MAX(E216,0)</f>
        <v>1</v>
      </c>
      <c r="C112" s="467" t="s">
        <v>462</v>
      </c>
      <c r="D112" s="467"/>
      <c r="E112" s="467"/>
      <c r="F112" s="467"/>
      <c r="G112" s="498">
        <f>IF(OR(LEFT(B12,7)="Exhaust",LEFT(B65,7)="Exhaust"),E195,0)</f>
        <v>0</v>
      </c>
      <c r="H112" s="488"/>
      <c r="I112" s="489"/>
      <c r="J112" s="58"/>
      <c r="K112" s="57"/>
      <c r="L112" s="57"/>
      <c r="M112" s="57"/>
    </row>
    <row r="113" spans="1:14">
      <c r="A113" s="458"/>
      <c r="B113" s="458"/>
      <c r="C113" s="458"/>
      <c r="D113" s="467"/>
      <c r="E113" s="467"/>
      <c r="F113" s="467"/>
      <c r="G113" s="497" t="s">
        <v>497</v>
      </c>
      <c r="H113" s="488"/>
      <c r="I113" s="489"/>
      <c r="J113" s="58"/>
      <c r="K113" s="57"/>
      <c r="L113" s="57"/>
      <c r="M113" s="57"/>
    </row>
    <row r="114" spans="1:14" ht="16.5" thickBot="1">
      <c r="A114" s="458"/>
      <c r="B114" s="499"/>
      <c r="C114" s="458"/>
      <c r="D114" s="467"/>
      <c r="E114" s="467"/>
      <c r="F114" s="467"/>
      <c r="G114" s="500" t="b">
        <f>IF(E193="No",FALSE,TRUE)</f>
        <v>0</v>
      </c>
      <c r="H114" s="488"/>
      <c r="I114" s="489"/>
      <c r="J114" s="58"/>
      <c r="K114" s="57"/>
      <c r="L114" s="57"/>
      <c r="M114" s="57"/>
    </row>
    <row r="115" spans="1:14" ht="53.45" customHeight="1">
      <c r="A115" s="486" t="s">
        <v>530</v>
      </c>
      <c r="B115" s="501" t="e">
        <f ca="1">IF(B14="I.S. EN 14511",1,E203/E199)</f>
        <v>#VALUE!</v>
      </c>
      <c r="C115" s="502" t="s">
        <v>461</v>
      </c>
      <c r="D115" s="503" t="e">
        <f ca="1">IF(B14=N4,IF(B5="No",B17,B17*B8/B7),E203)</f>
        <v>#VALUE!</v>
      </c>
      <c r="E115" s="467" t="s">
        <v>572</v>
      </c>
      <c r="F115" s="504" t="e">
        <f ca="1">IF(B14="I.S. EN 14511",(B106*B107)*100,E204*100)</f>
        <v>#VALUE!</v>
      </c>
      <c r="G115" s="458"/>
      <c r="H115" s="488"/>
      <c r="I115" s="489"/>
      <c r="J115" s="58"/>
      <c r="K115" s="57"/>
      <c r="L115" s="57"/>
      <c r="M115" s="57"/>
    </row>
    <row r="116" spans="1:14" ht="45" customHeight="1" thickBot="1">
      <c r="A116" s="493" t="s">
        <v>334</v>
      </c>
      <c r="B116" s="505">
        <f ca="1">IF(OR(B68=N5,B68=N7, B68=N8),1-E210,1)</f>
        <v>-0.18181818181818188</v>
      </c>
      <c r="C116" s="502" t="s">
        <v>335</v>
      </c>
      <c r="D116" s="506" t="e">
        <f ca="1">IF(OR(B68=N5,B68=N7,B68=N8),E215,IF(B5="No",B69,B69*B8/B7))</f>
        <v>#DIV/0!</v>
      </c>
      <c r="E116" s="467" t="s">
        <v>573</v>
      </c>
      <c r="F116" s="507">
        <f ca="1">IF(OR(B68=N5,B68=N7,B68=N8),E209*100,(B108*B109)*100)</f>
        <v>0</v>
      </c>
      <c r="G116" s="458"/>
      <c r="H116" s="488"/>
      <c r="I116" s="489"/>
      <c r="J116" s="58"/>
      <c r="K116" s="41"/>
      <c r="L116" s="41"/>
      <c r="M116" s="41"/>
    </row>
    <row r="117" spans="1:14" ht="30.75" customHeight="1" thickBot="1">
      <c r="A117" s="458"/>
      <c r="B117" s="458"/>
      <c r="C117" s="458"/>
      <c r="D117" s="467"/>
      <c r="E117" s="467"/>
      <c r="F117" s="467"/>
      <c r="G117" s="458"/>
      <c r="H117" s="488"/>
      <c r="I117" s="489"/>
      <c r="J117" s="58"/>
      <c r="K117" s="41"/>
      <c r="L117" s="41"/>
      <c r="M117" s="41"/>
    </row>
    <row r="118" spans="1:14" ht="31.5" customHeight="1" thickBot="1">
      <c r="A118" s="508" t="s">
        <v>571</v>
      </c>
      <c r="B118" s="509"/>
      <c r="C118" s="509"/>
      <c r="D118" s="510"/>
      <c r="E118" s="510"/>
      <c r="F118" s="510"/>
      <c r="G118" s="510"/>
      <c r="H118" s="510"/>
      <c r="I118" s="510"/>
      <c r="J118" s="58"/>
      <c r="K118" s="57"/>
      <c r="L118" s="57"/>
      <c r="M118" s="57"/>
    </row>
    <row r="119" spans="1:14" ht="18.75" customHeight="1" thickBot="1">
      <c r="A119" s="458"/>
      <c r="B119" s="458"/>
      <c r="C119" s="458"/>
      <c r="D119" s="467"/>
      <c r="E119" s="467"/>
      <c r="F119" s="467"/>
      <c r="G119" s="458"/>
      <c r="H119" s="488"/>
      <c r="I119" s="489"/>
      <c r="J119" s="75"/>
      <c r="K119" s="57"/>
      <c r="L119" s="57"/>
      <c r="M119" s="57"/>
      <c r="N119" s="70" t="s">
        <v>1</v>
      </c>
    </row>
    <row r="120" spans="1:14" ht="43.15" customHeight="1">
      <c r="A120" s="511" t="s">
        <v>498</v>
      </c>
      <c r="B120" s="512" t="s">
        <v>377</v>
      </c>
      <c r="C120" s="513" t="s">
        <v>378</v>
      </c>
      <c r="D120" s="514" t="s">
        <v>381</v>
      </c>
      <c r="E120" s="515" t="s">
        <v>379</v>
      </c>
      <c r="F120" s="516" t="s">
        <v>499</v>
      </c>
      <c r="G120" s="458"/>
      <c r="H120" s="488"/>
      <c r="I120" s="489"/>
      <c r="J120" s="73"/>
      <c r="K120" s="72"/>
      <c r="L120" s="72"/>
      <c r="M120" s="72"/>
    </row>
    <row r="121" spans="1:14" ht="30.75" customHeight="1">
      <c r="A121" s="517" t="s">
        <v>48</v>
      </c>
      <c r="B121" s="518" t="e">
        <f ca="1">F115</f>
        <v>#VALUE!</v>
      </c>
      <c r="C121" s="519" t="e">
        <f ca="1">IF($B$5="No",D115,D115*$B$7/$B$8)</f>
        <v>#VALUE!</v>
      </c>
      <c r="D121" s="519" t="e">
        <f ca="1">100*C121/B121</f>
        <v>#VALUE!</v>
      </c>
      <c r="E121" s="520" t="e">
        <f ca="1">(C121-D121)</f>
        <v>#VALUE!</v>
      </c>
      <c r="F121" s="521" t="e">
        <f ca="1">IF(OR(B14=N1,B14=N2,B14=N3),
IF($B$5="No",E121-E205,
             B8*E121/B7-E205),"N/A")</f>
        <v>#VALUE!</v>
      </c>
      <c r="G121" s="522"/>
      <c r="H121" s="523"/>
      <c r="I121" s="524"/>
      <c r="J121" s="58"/>
      <c r="K121" s="57"/>
      <c r="L121" s="57"/>
      <c r="M121" s="57"/>
    </row>
    <row r="122" spans="1:14" ht="30.75" customHeight="1" thickBot="1">
      <c r="A122" s="525" t="s">
        <v>380</v>
      </c>
      <c r="B122" s="526">
        <f ca="1">F116</f>
        <v>0</v>
      </c>
      <c r="C122" s="527" t="e">
        <f ca="1">IF($B$5="No",D116,D116*$B$7/$B$8)</f>
        <v>#DIV/0!</v>
      </c>
      <c r="D122" s="527" t="e">
        <f ca="1">100*C122/B122</f>
        <v>#DIV/0!</v>
      </c>
      <c r="E122" s="528" t="e">
        <f ca="1">(C122-D122)</f>
        <v>#DIV/0!</v>
      </c>
      <c r="F122" s="529" t="e">
        <f ca="1">IF(OR(B68=N5,B68=N7,B68=N8),
IF(B5="No",E122-E214,
       B8*E122/B7-E214),
"N/A")</f>
        <v>#DIV/0!</v>
      </c>
      <c r="G122" s="522"/>
      <c r="H122" s="523"/>
      <c r="I122" s="524"/>
      <c r="J122" s="58"/>
      <c r="K122" s="57"/>
      <c r="L122" s="57"/>
      <c r="M122" s="57"/>
    </row>
    <row r="123" spans="1:14" ht="38.450000000000003" customHeight="1">
      <c r="A123" s="530" t="s">
        <v>501</v>
      </c>
      <c r="B123" s="512" t="s">
        <v>377</v>
      </c>
      <c r="C123" s="513" t="s">
        <v>378</v>
      </c>
      <c r="D123" s="514" t="s">
        <v>381</v>
      </c>
      <c r="E123" s="515" t="s">
        <v>379</v>
      </c>
      <c r="F123" s="531" t="s">
        <v>500</v>
      </c>
      <c r="G123" s="458"/>
      <c r="H123" s="523"/>
      <c r="I123" s="524"/>
      <c r="J123" s="58"/>
      <c r="K123" s="57"/>
      <c r="L123" s="57"/>
      <c r="M123" s="57"/>
    </row>
    <row r="124" spans="1:14" ht="30.75" customHeight="1">
      <c r="A124" s="517" t="s">
        <v>48</v>
      </c>
      <c r="B124" s="518" t="e">
        <f ca="1">B106*100</f>
        <v>#VALUE!</v>
      </c>
      <c r="C124" s="519">
        <f ca="1">IF($B$5="No",E199,E199*$B$7/$B$8)</f>
        <v>0</v>
      </c>
      <c r="D124" s="519" t="e">
        <f ca="1">100*C124/B124</f>
        <v>#VALUE!</v>
      </c>
      <c r="E124" s="520" t="e">
        <f ca="1">(C124-D124)</f>
        <v>#VALUE!</v>
      </c>
      <c r="F124" s="521" t="e">
        <f ca="1">IF(OR(B14=N1,B14=N2,B14=N3),
-E124+
IF(B5="No",(E199-E200),
(B7/B8)*((E199-E200))),
"N/A")</f>
        <v>#VALUE!</v>
      </c>
      <c r="G124" s="458"/>
      <c r="H124" s="523"/>
      <c r="I124" s="524"/>
      <c r="J124" s="58"/>
      <c r="K124" s="57"/>
      <c r="L124" s="57"/>
      <c r="M124" s="57"/>
    </row>
    <row r="125" spans="1:14" ht="30.75" customHeight="1" thickBot="1">
      <c r="A125" s="525" t="s">
        <v>380</v>
      </c>
      <c r="B125" s="526" t="e">
        <f ca="1">B108*100</f>
        <v>#DIV/0!</v>
      </c>
      <c r="C125" s="519">
        <f ca="1">IF($B$5="No",E211,E211*$B$7/$B$8)</f>
        <v>0</v>
      </c>
      <c r="D125" s="527" t="e">
        <f ca="1">100*C125/B125</f>
        <v>#DIV/0!</v>
      </c>
      <c r="E125" s="528" t="e">
        <f ca="1">(C125-D125)</f>
        <v>#DIV/0!</v>
      </c>
      <c r="F125" s="529" t="e">
        <f ca="1">IF(OR(B68=N5,B68=N7,B68=N8),
-E125+
IF(B5="no",(E211-E212),
(B7/B8)*(E211-E212)),
"N/A")</f>
        <v>#DIV/0!</v>
      </c>
      <c r="G125" s="458"/>
      <c r="H125" s="523"/>
      <c r="I125" s="524"/>
      <c r="J125" s="58"/>
      <c r="K125" s="57"/>
      <c r="L125" s="57"/>
      <c r="M125" s="57"/>
    </row>
    <row r="126" spans="1:14" ht="71.45" customHeight="1">
      <c r="A126" s="511" t="s">
        <v>464</v>
      </c>
      <c r="B126" s="532" t="s">
        <v>575</v>
      </c>
      <c r="C126" s="532" t="s">
        <v>576</v>
      </c>
      <c r="D126" s="532" t="s">
        <v>607</v>
      </c>
      <c r="E126" s="532" t="s">
        <v>577</v>
      </c>
      <c r="F126" s="533" t="s">
        <v>496</v>
      </c>
      <c r="G126" s="534" t="s">
        <v>489</v>
      </c>
      <c r="H126" s="534" t="s">
        <v>490</v>
      </c>
      <c r="I126" s="534" t="s">
        <v>491</v>
      </c>
      <c r="J126" s="58"/>
      <c r="K126" s="57"/>
      <c r="L126" s="57"/>
      <c r="M126" s="57"/>
    </row>
    <row r="127" spans="1:14" ht="38.450000000000003" customHeight="1">
      <c r="A127" s="517" t="s">
        <v>48</v>
      </c>
      <c r="B127" s="535" t="e">
        <f ca="1">E121-E124</f>
        <v>#VALUE!</v>
      </c>
      <c r="C127" s="535" t="e">
        <f ca="1">-(1-$B$111)*E121</f>
        <v>#VALUE!</v>
      </c>
      <c r="D127" s="535">
        <v>0</v>
      </c>
      <c r="E127" s="535">
        <f>IF($G$114,-E124-B127-C127,0)</f>
        <v>0</v>
      </c>
      <c r="F127" s="536" t="e">
        <f ca="1">SUM(B127:E127)</f>
        <v>#VALUE!</v>
      </c>
      <c r="G127" s="537" t="e">
        <f ca="1">E124</f>
        <v>#VALUE!</v>
      </c>
      <c r="H127" s="537" t="e">
        <f ca="1">IF($G$114=TRUE,0,E121*B111)</f>
        <v>#VALUE!</v>
      </c>
      <c r="I127" s="538" t="e">
        <f ca="1">G127+F127-H127</f>
        <v>#VALUE!</v>
      </c>
      <c r="J127" s="58"/>
      <c r="K127" s="57"/>
      <c r="L127" s="57"/>
      <c r="M127" s="57"/>
    </row>
    <row r="128" spans="1:14" ht="16.5" thickBot="1">
      <c r="A128" s="525" t="s">
        <v>380</v>
      </c>
      <c r="B128" s="539" t="e">
        <f ca="1">E122-E125</f>
        <v>#DIV/0!</v>
      </c>
      <c r="C128" s="535" t="e">
        <f ca="1">-(1-$B$112)*E122</f>
        <v>#DIV/0!</v>
      </c>
      <c r="D128" s="535">
        <f>IF(B5="Yes",E125,0)</f>
        <v>0</v>
      </c>
      <c r="E128" s="535">
        <f>IF($G$114,-E125-B128-C128,0)</f>
        <v>0</v>
      </c>
      <c r="F128" s="536" t="e">
        <f ca="1">SUM(B128:E128)</f>
        <v>#DIV/0!</v>
      </c>
      <c r="G128" s="537" t="e">
        <f ca="1">IF(B5="Yes",0,E125)</f>
        <v>#DIV/0!</v>
      </c>
      <c r="H128" s="537" t="e">
        <f ca="1">IF($G$114=TRUE,0,E122*B112)</f>
        <v>#DIV/0!</v>
      </c>
      <c r="I128" s="538" t="e">
        <f ca="1">G128+F128-H128</f>
        <v>#DIV/0!</v>
      </c>
      <c r="J128" s="58"/>
      <c r="K128" s="57"/>
      <c r="L128" s="57"/>
      <c r="M128" s="57"/>
    </row>
    <row r="129" spans="1:13" ht="32.25" customHeight="1">
      <c r="A129" s="458"/>
      <c r="B129" s="458"/>
      <c r="C129" s="458"/>
      <c r="D129" s="467"/>
      <c r="E129" s="467"/>
      <c r="F129" s="467"/>
      <c r="G129" s="458"/>
      <c r="H129" s="523"/>
      <c r="I129" s="524"/>
      <c r="J129" s="58"/>
      <c r="K129" s="41"/>
      <c r="L129" s="41"/>
      <c r="M129" s="41"/>
    </row>
    <row r="187" spans="1:13" ht="16.5" thickBot="1">
      <c r="A187" s="274" t="s">
        <v>515</v>
      </c>
      <c r="B187" s="274"/>
      <c r="C187" s="274"/>
      <c r="D187" s="275"/>
      <c r="E187" s="275"/>
      <c r="F187" s="275"/>
      <c r="G187" s="274"/>
      <c r="H187" s="275"/>
      <c r="I187" s="276"/>
      <c r="J187" s="277"/>
      <c r="K187" s="276"/>
      <c r="L187" s="276"/>
    </row>
    <row r="188" spans="1:13" ht="16.5" thickBot="1">
      <c r="A188" s="282" t="s">
        <v>340</v>
      </c>
      <c r="B188" s="286" t="s">
        <v>503</v>
      </c>
      <c r="C188" s="286" t="s">
        <v>504</v>
      </c>
      <c r="D188" s="286" t="s">
        <v>505</v>
      </c>
      <c r="E188" s="290" t="s">
        <v>516</v>
      </c>
      <c r="F188" s="286"/>
      <c r="G188" s="286"/>
      <c r="H188" s="290"/>
      <c r="I188" s="290">
        <v>1</v>
      </c>
      <c r="J188" s="290">
        <v>2</v>
      </c>
      <c r="K188" s="290">
        <v>3</v>
      </c>
      <c r="L188" s="290" t="s">
        <v>512</v>
      </c>
      <c r="M188" s="290" t="s">
        <v>516</v>
      </c>
    </row>
    <row r="189" spans="1:13" ht="31.5">
      <c r="A189" s="284" t="s">
        <v>373</v>
      </c>
      <c r="B189" s="294" t="str">
        <f>INDEX(DEAPEntries!$B$13:$D$20,MATCH($A189,DEAPEntries!$A$13:$A$20,0),MATCH(B$188,DEAPEntries!$B$13:$D$13,0))</f>
        <v>Heat Pump</v>
      </c>
      <c r="C189" s="294" t="str">
        <f>INDEX(DEAPEntries!$B$13:$D$20,MATCH($A189,DEAPEntries!$A$13:$A$20,0),MATCH(C$188,DEAPEntries!$B$13:$D$13,0))</f>
        <v>None</v>
      </c>
      <c r="D189" s="294" t="str">
        <f>INDEX(DEAPEntries!$B$13:$D$20,MATCH($A189,DEAPEntries!$A$13:$A$20,0),MATCH(D$188,DEAPEntries!$B$13:$D$13,0))</f>
        <v>None</v>
      </c>
      <c r="E189" s="291" t="str">
        <f t="shared" ref="E189:E195" si="1">VLOOKUP(A189,A189:D189,$G$1+1,FALSE)</f>
        <v>None</v>
      </c>
      <c r="F189" s="278"/>
      <c r="G189" s="275"/>
      <c r="H189" s="298" t="s">
        <v>345</v>
      </c>
      <c r="I189" s="297" t="b">
        <f t="shared" ref="I189:K190" si="2">IF(B189="None",FALSE,TRUE)</f>
        <v>1</v>
      </c>
      <c r="J189" s="295" t="b">
        <f t="shared" si="2"/>
        <v>0</v>
      </c>
      <c r="K189" s="295" t="b">
        <f t="shared" si="2"/>
        <v>0</v>
      </c>
      <c r="L189" s="295" t="b">
        <f>IF(OR(I189,J189,K189),TRUE,FALSE)</f>
        <v>1</v>
      </c>
      <c r="M189" s="291" t="b">
        <f>VLOOKUP(H189,H189:L189,$G$1+1,FALSE)</f>
        <v>0</v>
      </c>
    </row>
    <row r="190" spans="1:13">
      <c r="A190" s="284" t="s">
        <v>374</v>
      </c>
      <c r="B190" s="294" t="str">
        <f>INDEX(DEAPEntries!$B$13:$D$20,MATCH($A190,DEAPEntries!$A$13:$A$20,0),MATCH(B$188,DEAPEntries!$B$13:$D$13,0))</f>
        <v>Heat Pump</v>
      </c>
      <c r="C190" s="294" t="str">
        <f>INDEX(DEAPEntries!$B$13:$D$20,MATCH($A190,DEAPEntries!$A$13:$A$20,0),MATCH(C$188,DEAPEntries!$B$13:$D$13,0))</f>
        <v>None</v>
      </c>
      <c r="D190" s="294" t="str">
        <f>INDEX(DEAPEntries!$B$13:$D$20,MATCH($A190,DEAPEntries!$A$13:$A$20,0),MATCH(D$188,DEAPEntries!$B$13:$D$13,0))</f>
        <v>None</v>
      </c>
      <c r="E190" s="291" t="str">
        <f t="shared" si="1"/>
        <v>None</v>
      </c>
      <c r="F190" s="278"/>
      <c r="G190" s="275"/>
      <c r="H190" s="298" t="s">
        <v>346</v>
      </c>
      <c r="I190" s="297" t="b">
        <f t="shared" si="2"/>
        <v>1</v>
      </c>
      <c r="J190" s="295" t="b">
        <f t="shared" si="2"/>
        <v>0</v>
      </c>
      <c r="K190" s="295" t="b">
        <f t="shared" si="2"/>
        <v>0</v>
      </c>
      <c r="L190" s="295" t="b">
        <f>IF(OR(I190,J190,K190),TRUE,FALSE)</f>
        <v>1</v>
      </c>
      <c r="M190" s="291" t="b">
        <f>VLOOKUP(H190,H190:L190,$G$1+1,FALSE)</f>
        <v>0</v>
      </c>
    </row>
    <row r="191" spans="1:13">
      <c r="A191" s="284" t="s">
        <v>506</v>
      </c>
      <c r="B191" s="300">
        <f>INDEX(DEAPEntries!$B$13:$D$20,MATCH($A191,DEAPEntries!$A$13:$A$20,0),MATCH(B$188,DEAPEntries!$B$13:$D$13,0))</f>
        <v>0</v>
      </c>
      <c r="C191" s="300">
        <f>INDEX(DEAPEntries!$B$13:$D$20,MATCH($A191,DEAPEntries!$A$13:$A$20,0),MATCH(C$188,DEAPEntries!$B$13:$D$13,0))</f>
        <v>0</v>
      </c>
      <c r="D191" s="300">
        <f>INDEX(DEAPEntries!$B$13:$D$20,MATCH($A191,DEAPEntries!$A$13:$A$20,0),MATCH(D$188,DEAPEntries!$B$13:$D$13,0))</f>
        <v>0</v>
      </c>
      <c r="E191" s="301">
        <f t="shared" si="1"/>
        <v>0</v>
      </c>
      <c r="F191" s="278"/>
      <c r="G191" s="275"/>
      <c r="H191" s="275"/>
      <c r="I191" s="287"/>
      <c r="J191" s="283"/>
      <c r="K191" s="283"/>
      <c r="L191" s="287"/>
    </row>
    <row r="192" spans="1:13">
      <c r="A192" s="284" t="s">
        <v>507</v>
      </c>
      <c r="B192" s="300">
        <f>INDEX(DEAPEntries!$B$13:$D$20,MATCH($A192,DEAPEntries!$A$13:$A$20,0),MATCH(B$188,DEAPEntries!$B$13:$D$13,0))</f>
        <v>0</v>
      </c>
      <c r="C192" s="300">
        <f>INDEX(DEAPEntries!$B$13:$D$20,MATCH($A192,DEAPEntries!$A$13:$A$20,0),MATCH(C$188,DEAPEntries!$B$13:$D$13,0))</f>
        <v>0</v>
      </c>
      <c r="D192" s="300">
        <f>INDEX(DEAPEntries!$B$13:$D$20,MATCH($A192,DEAPEntries!$A$13:$A$20,0),MATCH(D$188,DEAPEntries!$B$13:$D$13,0))</f>
        <v>0</v>
      </c>
      <c r="E192" s="301">
        <f t="shared" si="1"/>
        <v>0</v>
      </c>
      <c r="F192" s="278"/>
      <c r="G192" s="275"/>
      <c r="H192" s="275"/>
      <c r="I192" s="287"/>
      <c r="J192" s="283"/>
      <c r="K192" s="283"/>
      <c r="L192" s="287"/>
    </row>
    <row r="193" spans="1:29">
      <c r="A193" s="284" t="s">
        <v>508</v>
      </c>
      <c r="B193" s="300" t="str">
        <f>INDEX(DEAPEntries!$B$13:$D$20,MATCH($A193,DEAPEntries!$A$13:$A$20,0),MATCH(B$188,DEAPEntries!$B$13:$D$13,0))</f>
        <v>No</v>
      </c>
      <c r="C193" s="300" t="str">
        <f>INDEX(DEAPEntries!$B$13:$D$20,MATCH($A193,DEAPEntries!$A$13:$A$20,0),MATCH(C$188,DEAPEntries!$B$13:$D$13,0))</f>
        <v>No</v>
      </c>
      <c r="D193" s="300" t="str">
        <f>INDEX(DEAPEntries!$B$13:$D$20,MATCH($A193,DEAPEntries!$A$13:$A$20,0),MATCH(D$188,DEAPEntries!$B$13:$D$13,0))</f>
        <v>No</v>
      </c>
      <c r="E193" s="301" t="str">
        <f t="shared" si="1"/>
        <v>No</v>
      </c>
      <c r="F193" s="278"/>
      <c r="G193" s="275"/>
      <c r="H193" s="275"/>
      <c r="I193" s="287"/>
      <c r="J193" s="283"/>
      <c r="K193" s="283"/>
      <c r="L193" s="283"/>
    </row>
    <row r="194" spans="1:29">
      <c r="A194" s="285" t="s">
        <v>87</v>
      </c>
      <c r="B194" s="300" t="str">
        <f>INDEX(DEAPEntries!$B$13:$D$20,MATCH($A194,DEAPEntries!$A$13:$A$20,0),MATCH(B$188,DEAPEntries!$B$13:$D$13,0))</f>
        <v>No</v>
      </c>
      <c r="C194" s="300" t="str">
        <f>INDEX(DEAPEntries!$B$13:$D$20,MATCH($A194,DEAPEntries!$A$13:$A$20,0),MATCH(C$188,DEAPEntries!$B$13:$D$13,0))</f>
        <v>No</v>
      </c>
      <c r="D194" s="300" t="str">
        <f>INDEX(DEAPEntries!$B$13:$D$20,MATCH($A194,DEAPEntries!$A$13:$A$20,0),MATCH(D$188,DEAPEntries!$B$13:$D$13,0))</f>
        <v>No</v>
      </c>
      <c r="E194" s="301" t="str">
        <f t="shared" si="1"/>
        <v>No</v>
      </c>
      <c r="F194" s="278"/>
      <c r="G194" s="275"/>
      <c r="H194" s="299" t="s">
        <v>511</v>
      </c>
      <c r="I194" s="296" t="b">
        <f>IF(OR(B194="Yes",C194="Yes",D194="Yes"),TRUE,FALSE)</f>
        <v>0</v>
      </c>
      <c r="J194" s="283"/>
      <c r="K194" s="283"/>
      <c r="L194" s="283"/>
    </row>
    <row r="195" spans="1:29">
      <c r="A195" s="279" t="s">
        <v>452</v>
      </c>
      <c r="B195" s="300">
        <f>INDEX(DEAPEntries!$B$13:$D$20,MATCH($A195,DEAPEntries!$A$13:$A$20,0),MATCH(B$188,DEAPEntries!$B$13:$D$13,0))</f>
        <v>0</v>
      </c>
      <c r="C195" s="300">
        <f>INDEX(DEAPEntries!$B$13:$D$20,MATCH($A195,DEAPEntries!$A$13:$A$20,0),MATCH(C$188,DEAPEntries!$B$13:$D$13,0))</f>
        <v>0</v>
      </c>
      <c r="D195" s="300">
        <f>INDEX(DEAPEntries!$B$13:$D$20,MATCH($A195,DEAPEntries!$A$13:$A$20,0),MATCH(D$188,DEAPEntries!$B$13:$D$13,0))</f>
        <v>0</v>
      </c>
      <c r="E195" s="301">
        <f t="shared" si="1"/>
        <v>0</v>
      </c>
      <c r="F195" s="278"/>
      <c r="G195" s="280"/>
      <c r="H195" s="280"/>
      <c r="I195" s="288"/>
      <c r="J195" s="289"/>
      <c r="K195" s="281"/>
      <c r="L195" s="283"/>
    </row>
    <row r="197" spans="1:29" s="95" customFormat="1" ht="12.75">
      <c r="A197" s="317" t="s">
        <v>568</v>
      </c>
      <c r="B197" s="318" t="s">
        <v>553</v>
      </c>
      <c r="C197" s="318" t="s">
        <v>554</v>
      </c>
      <c r="D197" s="318" t="s">
        <v>555</v>
      </c>
      <c r="E197" s="309"/>
      <c r="F197" s="309"/>
      <c r="G197" s="309"/>
      <c r="H197" s="309"/>
      <c r="I197" s="308"/>
      <c r="J197" s="97"/>
      <c r="L197" s="97"/>
      <c r="AC197" s="97"/>
    </row>
    <row r="198" spans="1:29" s="95" customFormat="1" ht="60" customHeight="1">
      <c r="A198" s="310" t="s">
        <v>590</v>
      </c>
      <c r="B198" s="310" t="str">
        <f>RIGHT(B197)</f>
        <v>1</v>
      </c>
      <c r="C198" s="310" t="str">
        <f>RIGHT(C197)</f>
        <v>2</v>
      </c>
      <c r="D198" s="310" t="str">
        <f>RIGHT(D197)</f>
        <v>3</v>
      </c>
      <c r="E198" s="310" t="s">
        <v>552</v>
      </c>
      <c r="F198" s="311" t="s">
        <v>547</v>
      </c>
      <c r="G198" s="311" t="s">
        <v>550</v>
      </c>
      <c r="H198" s="311" t="s">
        <v>556</v>
      </c>
      <c r="I198" s="97"/>
      <c r="J198" s="97"/>
      <c r="L198" s="97"/>
      <c r="AC198" s="97"/>
    </row>
    <row r="199" spans="1:29" s="95" customFormat="1">
      <c r="A199" s="316" t="str">
        <f>HeatingCalc_1!A60</f>
        <v>Space Heating Energy Requirement</v>
      </c>
      <c r="B199" s="312">
        <f>HeatingCalc_1!H60</f>
        <v>0</v>
      </c>
      <c r="C199" s="313" cm="1">
        <f t="array" aca="1" ref="C199" ca="1">INDIRECT($F199&amp;C$198&amp;"!"&amp;$G199)</f>
        <v>0</v>
      </c>
      <c r="D199" s="313" cm="1">
        <f t="array" aca="1" ref="D199" ca="1">INDIRECT($F199&amp;D$198&amp;"!"&amp;$G199)</f>
        <v>0</v>
      </c>
      <c r="E199" s="331">
        <f t="shared" ref="E199:E207" ca="1" si="3">VLOOKUP(A199,A199:D199,$G$1+1,FALSE)</f>
        <v>0</v>
      </c>
      <c r="F199" s="314" t="str">
        <f ca="1">LEFT(H199,FIND("1",H199)-1)</f>
        <v>HeatingCalc_</v>
      </c>
      <c r="G199" s="314" t="str">
        <f ca="1">RIGHT(H199,LEN(H199)-FIND("!",H199))</f>
        <v>H60</v>
      </c>
      <c r="H199" s="315" t="str">
        <f ca="1">SUBSTITUTE( _xlfn.FORMULATEXT(B199),"=","")</f>
        <v>HeatingCalc_1!H60</v>
      </c>
      <c r="L199" s="97"/>
      <c r="AC199" s="97"/>
    </row>
    <row r="200" spans="1:29" s="95" customFormat="1">
      <c r="A200" s="316" t="str">
        <f>HeatingCalc_1!A69</f>
        <v>Total Delivered Energy Required (this will be gas or elec)</v>
      </c>
      <c r="B200" s="312" t="e">
        <f>HeatingCalc_1!H69</f>
        <v>#VALUE!</v>
      </c>
      <c r="C200" s="313" t="e" cm="1">
        <f t="array" aca="1" ref="C200" ca="1">INDIRECT($F200&amp;C$198&amp;"!"&amp;$G200)</f>
        <v>#VALUE!</v>
      </c>
      <c r="D200" s="313" t="e" cm="1">
        <f t="array" aca="1" ref="D200" ca="1">INDIRECT($F200&amp;D$198&amp;"!"&amp;$G200)</f>
        <v>#VALUE!</v>
      </c>
      <c r="E200" s="331" t="e">
        <f t="shared" ca="1" si="3"/>
        <v>#VALUE!</v>
      </c>
      <c r="F200" s="314" t="str">
        <f ca="1">LEFT(H200,FIND("1",H200)-1)</f>
        <v>HeatingCalc_</v>
      </c>
      <c r="G200" s="314" t="str">
        <f ca="1">RIGHT(H200,LEN(H200)-FIND("!",H200))</f>
        <v>H69</v>
      </c>
      <c r="H200" s="315" t="str">
        <f ca="1">SUBSTITUTE( _xlfn.FORMULATEXT(B200),"=","")</f>
        <v>HeatingCalc_1!H69</v>
      </c>
      <c r="L200" s="97"/>
      <c r="AC200" s="97"/>
    </row>
    <row r="201" spans="1:29" s="95" customFormat="1">
      <c r="A201" s="316" t="str">
        <f>HeatingCalc_1!A71</f>
        <v>SPF - Heat Pump &amp; Back up Heater</v>
      </c>
      <c r="B201" s="312" t="e">
        <f>HeatingCalc_1!H71</f>
        <v>#VALUE!</v>
      </c>
      <c r="C201" s="313" t="e" cm="1">
        <f t="array" aca="1" ref="C201" ca="1">INDIRECT($F201&amp;C$198&amp;"!"&amp;$G201)</f>
        <v>#VALUE!</v>
      </c>
      <c r="D201" s="313" t="e" cm="1">
        <f t="array" aca="1" ref="D201" ca="1">INDIRECT($F201&amp;D$198&amp;"!"&amp;$G201)</f>
        <v>#VALUE!</v>
      </c>
      <c r="E201" s="331" t="e">
        <f t="shared" ca="1" si="3"/>
        <v>#VALUE!</v>
      </c>
      <c r="F201" s="314" t="str">
        <f t="shared" ref="F201:F207" ca="1" si="4">LEFT(H201,FIND("1",H201)-1)</f>
        <v>HeatingCalc_</v>
      </c>
      <c r="G201" s="314" t="str">
        <f t="shared" ref="G201:G207" ca="1" si="5">RIGHT(H201,LEN(H201)-FIND("!",H201))</f>
        <v>H71</v>
      </c>
      <c r="H201" s="315" t="str">
        <f t="shared" ref="H201:H207" ca="1" si="6">SUBSTITUTE( _xlfn.FORMULATEXT(B201),"=","")</f>
        <v>HeatingCalc_1!H71</v>
      </c>
      <c r="L201" s="97"/>
      <c r="AC201" s="97"/>
    </row>
    <row r="202" spans="1:29" s="95" customFormat="1">
      <c r="A202" s="316" t="str">
        <f>HeatingCalc_1!A73</f>
        <v>Renewable Contribution calculated in DEAP</v>
      </c>
      <c r="B202" s="312" t="e">
        <f>HeatingCalc_1!H73</f>
        <v>#VALUE!</v>
      </c>
      <c r="C202" s="313" t="e" cm="1">
        <f t="array" aca="1" ref="C202" ca="1">INDIRECT($F202&amp;C$198&amp;"!"&amp;$G202)</f>
        <v>#VALUE!</v>
      </c>
      <c r="D202" s="313" t="e" cm="1">
        <f t="array" aca="1" ref="D202" ca="1">INDIRECT($F202&amp;D$198&amp;"!"&amp;$G202)</f>
        <v>#VALUE!</v>
      </c>
      <c r="E202" s="331" t="e">
        <f t="shared" ca="1" si="3"/>
        <v>#VALUE!</v>
      </c>
      <c r="F202" s="314" t="str">
        <f t="shared" ca="1" si="4"/>
        <v>HeatingCalc_</v>
      </c>
      <c r="G202" s="314" t="str">
        <f t="shared" ca="1" si="5"/>
        <v>H73</v>
      </c>
      <c r="H202" s="315" t="str">
        <f t="shared" ca="1" si="6"/>
        <v>HeatingCalc_1!H73</v>
      </c>
      <c r="L202" s="97"/>
      <c r="AC202" s="97"/>
    </row>
    <row r="203" spans="1:29" s="95" customFormat="1">
      <c r="A203" s="316" t="str">
        <f>HeatingCalc_1!A75</f>
        <v>Space Heating Provided by Heat Pump</v>
      </c>
      <c r="B203" s="312" t="e">
        <f>HeatingCalc_1!H75</f>
        <v>#VALUE!</v>
      </c>
      <c r="C203" s="313" t="e" cm="1">
        <f t="array" aca="1" ref="C203" ca="1">INDIRECT($F203&amp;C$198&amp;"!"&amp;$G203)</f>
        <v>#VALUE!</v>
      </c>
      <c r="D203" s="313" t="e" cm="1">
        <f t="array" aca="1" ref="D203" ca="1">INDIRECT($F203&amp;D$198&amp;"!"&amp;$G203)</f>
        <v>#VALUE!</v>
      </c>
      <c r="E203" s="331" t="e">
        <f t="shared" ca="1" si="3"/>
        <v>#VALUE!</v>
      </c>
      <c r="F203" s="314" t="str">
        <f t="shared" ca="1" si="4"/>
        <v>HeatingCalc_</v>
      </c>
      <c r="G203" s="314" t="str">
        <f t="shared" ca="1" si="5"/>
        <v>H75</v>
      </c>
      <c r="H203" s="315" t="str">
        <f t="shared" ca="1" si="6"/>
        <v>HeatingCalc_1!H75</v>
      </c>
      <c r="I203" s="96"/>
      <c r="L203" s="97"/>
      <c r="AC203" s="97"/>
    </row>
    <row r="204" spans="1:29" s="95" customFormat="1">
      <c r="A204" s="316" t="str">
        <f>HeatingCalc_1!A77</f>
        <v>SPF - Heat Pump only</v>
      </c>
      <c r="B204" s="312" t="e">
        <f>HeatingCalc_1!H77</f>
        <v>#VALUE!</v>
      </c>
      <c r="C204" s="313" t="e" cm="1">
        <f t="array" aca="1" ref="C204" ca="1">INDIRECT($F204&amp;C$198&amp;"!"&amp;$G204)</f>
        <v>#VALUE!</v>
      </c>
      <c r="D204" s="313" t="e" cm="1">
        <f t="array" aca="1" ref="D204" ca="1">INDIRECT($F204&amp;D$198&amp;"!"&amp;$G204)</f>
        <v>#VALUE!</v>
      </c>
      <c r="E204" s="331" t="e">
        <f t="shared" ca="1" si="3"/>
        <v>#VALUE!</v>
      </c>
      <c r="F204" s="314" t="str">
        <f t="shared" ca="1" si="4"/>
        <v>HeatingCalc_</v>
      </c>
      <c r="G204" s="314" t="str">
        <f t="shared" ca="1" si="5"/>
        <v>H77</v>
      </c>
      <c r="H204" s="315" t="str">
        <f t="shared" ca="1" si="6"/>
        <v>HeatingCalc_1!H77</v>
      </c>
      <c r="L204" s="97"/>
      <c r="AC204" s="97"/>
    </row>
    <row r="205" spans="1:29">
      <c r="A205" s="316" t="str">
        <f>HeatingCalc_1!A79</f>
        <v>Renewable Contribution provided by Heat Pump</v>
      </c>
      <c r="B205" s="312" t="e">
        <f>HeatingCalc_1!H79</f>
        <v>#VALUE!</v>
      </c>
      <c r="C205" s="313" t="e" cm="1">
        <f t="array" aca="1" ref="C205" ca="1">INDIRECT($F205&amp;C$198&amp;"!"&amp;$G205)</f>
        <v>#VALUE!</v>
      </c>
      <c r="D205" s="313" t="e" cm="1">
        <f t="array" aca="1" ref="D205" ca="1">INDIRECT($F205&amp;D$198&amp;"!"&amp;$G205)</f>
        <v>#VALUE!</v>
      </c>
      <c r="E205" s="331" t="e">
        <f t="shared" ca="1" si="3"/>
        <v>#VALUE!</v>
      </c>
      <c r="F205" s="314" t="str">
        <f t="shared" ca="1" si="4"/>
        <v>HeatingCalc_</v>
      </c>
      <c r="G205" s="314" t="str">
        <f t="shared" ca="1" si="5"/>
        <v>H79</v>
      </c>
      <c r="H205" s="315" t="str">
        <f t="shared" ca="1" si="6"/>
        <v>HeatingCalc_1!H79</v>
      </c>
    </row>
    <row r="206" spans="1:29">
      <c r="A206" s="316" t="str">
        <f>HeatingCalc_1!A82</f>
        <v>Renewable Contribution from Exhaust Air Heat Pump</v>
      </c>
      <c r="B206" s="312" t="e">
        <f>HeatingCalc_1!H82</f>
        <v>#VALUE!</v>
      </c>
      <c r="C206" s="313" t="e" cm="1">
        <f t="array" aca="1" ref="C206" ca="1">INDIRECT($F206&amp;C$198&amp;"!"&amp;$G206)</f>
        <v>#VALUE!</v>
      </c>
      <c r="D206" s="313" t="e" cm="1">
        <f t="array" aca="1" ref="D206" ca="1">INDIRECT($F206&amp;D$198&amp;"!"&amp;$G206)</f>
        <v>#VALUE!</v>
      </c>
      <c r="E206" s="331" t="e">
        <f t="shared" ca="1" si="3"/>
        <v>#VALUE!</v>
      </c>
      <c r="F206" s="314" t="str">
        <f t="shared" ca="1" si="4"/>
        <v>HeatingCalc_</v>
      </c>
      <c r="G206" s="314" t="str">
        <f t="shared" ca="1" si="5"/>
        <v>H82</v>
      </c>
      <c r="H206" s="315" t="str">
        <f t="shared" ca="1" si="6"/>
        <v>HeatingCalc_1!H82</v>
      </c>
    </row>
    <row r="207" spans="1:29">
      <c r="A207" s="316" t="str">
        <f>HeatingCalc_1!I85</f>
        <v>% renewables</v>
      </c>
      <c r="B207" s="319">
        <f>HeatingCalc_1!H85</f>
        <v>1</v>
      </c>
      <c r="C207" s="313" cm="1">
        <f t="array" aca="1" ref="C207" ca="1">INDIRECT($F207&amp;C$198&amp;"!"&amp;$G207)</f>
        <v>1</v>
      </c>
      <c r="D207" s="313" cm="1">
        <f t="array" aca="1" ref="D207" ca="1">INDIRECT($F207&amp;D$198&amp;"!"&amp;$G207)</f>
        <v>1</v>
      </c>
      <c r="E207" s="332">
        <f t="shared" ca="1" si="3"/>
        <v>1</v>
      </c>
      <c r="F207" s="314" t="str">
        <f t="shared" ca="1" si="4"/>
        <v>HeatingCalc_</v>
      </c>
      <c r="G207" s="314" t="str">
        <f t="shared" ca="1" si="5"/>
        <v>H85</v>
      </c>
      <c r="H207" s="315" t="str">
        <f t="shared" ca="1" si="6"/>
        <v>HeatingCalc_1!H85</v>
      </c>
    </row>
    <row r="208" spans="1:29" s="39" customFormat="1" ht="12.75">
      <c r="A208" s="310" t="s">
        <v>574</v>
      </c>
    </row>
    <row r="209" spans="1:8">
      <c r="A209" s="316" t="str">
        <f>DHWCalc_1!A12</f>
        <v>Efficiency for DEAP</v>
      </c>
      <c r="B209" s="319">
        <f>DHWCalc_1!B12</f>
        <v>0</v>
      </c>
      <c r="C209" s="313" cm="1">
        <f t="array" aca="1" ref="C209" ca="1">INDIRECT($F209&amp;C$198&amp;"!"&amp;$G209)</f>
        <v>0</v>
      </c>
      <c r="D209" s="313" cm="1">
        <f t="array" aca="1" ref="D209" ca="1">INDIRECT($F209&amp;D$198&amp;"!"&amp;$G209)</f>
        <v>0</v>
      </c>
      <c r="E209" s="332">
        <f ca="1">VLOOKUP(A209,A209:D209,$G$1+1,FALSE)</f>
        <v>0</v>
      </c>
      <c r="F209" s="314" t="str">
        <f t="shared" ref="F209:F222" ca="1" si="7">LEFT(H209,FIND("1",H209)-1)</f>
        <v>DHWCalc_</v>
      </c>
      <c r="G209" s="314" t="str">
        <f t="shared" ref="G209:G222" ca="1" si="8">RIGHT(H209,LEN(H209)-FIND("!",H209))</f>
        <v>B12</v>
      </c>
      <c r="H209" s="315" t="str">
        <f t="shared" ref="H209:H222" ca="1" si="9">SUBSTITUTE( _xlfn.FORMULATEXT(B209),"=","")</f>
        <v>DHWCalc_1!B12</v>
      </c>
    </row>
    <row r="210" spans="1:8" ht="31.5">
      <c r="A210" s="316" t="str">
        <f>DHWCalc_1!A17</f>
        <v>Fraction of Demand met by backup energy to meet temperature shortfall</v>
      </c>
      <c r="B210" s="320" t="e">
        <f>DHWCalc_1!B17</f>
        <v>#VALUE!</v>
      </c>
      <c r="C210" s="313" cm="1">
        <f t="array" aca="1" ref="C210" ca="1">INDIRECT($F210&amp;C$198&amp;"!"&amp;$G210)</f>
        <v>1.1818181818181819</v>
      </c>
      <c r="D210" s="313" cm="1">
        <f t="array" aca="1" ref="D210" ca="1">INDIRECT($F210&amp;D$198&amp;"!"&amp;$G210)</f>
        <v>1.1818181818181819</v>
      </c>
      <c r="E210" s="385">
        <f ca="1">VLOOKUP(A210,A210:D210,$G$1+1,FALSE)</f>
        <v>1.1818181818181819</v>
      </c>
      <c r="F210" s="314" t="str">
        <f t="shared" ca="1" si="7"/>
        <v>DHWCalc_</v>
      </c>
      <c r="G210" s="314" t="str">
        <f t="shared" ca="1" si="8"/>
        <v>B17</v>
      </c>
      <c r="H210" s="315" t="str">
        <f t="shared" ca="1" si="9"/>
        <v>DHWCalc_1!B17</v>
      </c>
    </row>
    <row r="211" spans="1:8">
      <c r="A211" s="316" t="str">
        <f>DHWCalc_1!A19</f>
        <v>DHW Demand for Dwelling</v>
      </c>
      <c r="B211" s="387">
        <f>DHWCalc_1!B19</f>
        <v>0</v>
      </c>
      <c r="C211" s="313" cm="1">
        <f t="array" aca="1" ref="C211" ca="1">INDIRECT($F211&amp;C$198&amp;"!"&amp;$G211)</f>
        <v>0</v>
      </c>
      <c r="D211" s="313" cm="1">
        <f t="array" aca="1" ref="D211" ca="1">INDIRECT($F211&amp;D$198&amp;"!"&amp;$G211)</f>
        <v>0</v>
      </c>
      <c r="E211" s="390">
        <f t="shared" ref="E211:E222" ca="1" si="10">VLOOKUP(A211,A211:D211,$G$1+1,FALSE)</f>
        <v>0</v>
      </c>
      <c r="F211" s="314" t="str">
        <f t="shared" ca="1" si="7"/>
        <v>DHWCalc_</v>
      </c>
      <c r="G211" s="314" t="str">
        <f t="shared" ca="1" si="8"/>
        <v>B19</v>
      </c>
      <c r="H211" s="315" t="str">
        <f t="shared" ca="1" si="9"/>
        <v>DHWCalc_1!B19</v>
      </c>
    </row>
    <row r="212" spans="1:8">
      <c r="A212" s="316" t="str">
        <f>DHWCalc_1!A28</f>
        <v>Total Fuel Required for Water Heating</v>
      </c>
      <c r="B212" s="387" t="e">
        <f>DHWCalc_1!B28</f>
        <v>#VALUE!</v>
      </c>
      <c r="C212" s="313" t="e" cm="1">
        <f t="array" aca="1" ref="C212" ca="1">INDIRECT($F212&amp;C$198&amp;"!"&amp;$G212)</f>
        <v>#DIV/0!</v>
      </c>
      <c r="D212" s="313" t="e" cm="1">
        <f t="array" aca="1" ref="D212" ca="1">INDIRECT($F212&amp;D$198&amp;"!"&amp;$G212)</f>
        <v>#DIV/0!</v>
      </c>
      <c r="E212" s="390" t="e">
        <f t="shared" ca="1" si="10"/>
        <v>#DIV/0!</v>
      </c>
      <c r="F212" s="314" t="str">
        <f t="shared" ca="1" si="7"/>
        <v>DHWCalc_</v>
      </c>
      <c r="G212" s="314" t="str">
        <f t="shared" ca="1" si="8"/>
        <v>B28</v>
      </c>
      <c r="H212" s="315" t="str">
        <f t="shared" ca="1" si="9"/>
        <v>DHWCalc_1!B28</v>
      </c>
    </row>
    <row r="213" spans="1:8">
      <c r="A213" s="316" t="str">
        <f>DHWCalc_1!A30</f>
        <v>SPF</v>
      </c>
      <c r="B213" s="319" t="e">
        <f>DHWCalc_1!B30</f>
        <v>#VALUE!</v>
      </c>
      <c r="C213" s="313" t="e" cm="1">
        <f t="array" aca="1" ref="C213" ca="1">INDIRECT($F213&amp;C$198&amp;"!"&amp;$G213)</f>
        <v>#DIV/0!</v>
      </c>
      <c r="D213" s="313" t="e" cm="1">
        <f t="array" aca="1" ref="D213" ca="1">INDIRECT($F213&amp;D$198&amp;"!"&amp;$G213)</f>
        <v>#DIV/0!</v>
      </c>
      <c r="E213" s="332" t="e">
        <f t="shared" ca="1" si="10"/>
        <v>#DIV/0!</v>
      </c>
      <c r="F213" s="314" t="str">
        <f t="shared" ca="1" si="7"/>
        <v>DHWCalc_</v>
      </c>
      <c r="G213" s="314" t="str">
        <f t="shared" ca="1" si="8"/>
        <v>B30</v>
      </c>
      <c r="H213" s="315" t="str">
        <f t="shared" ca="1" si="9"/>
        <v>DHWCalc_1!B30</v>
      </c>
    </row>
    <row r="214" spans="1:8">
      <c r="A214" s="316" t="str">
        <f>DHWCalc_1!A32</f>
        <v>Renewable Contribution calculated in DEAP</v>
      </c>
      <c r="B214" s="388" t="e">
        <f>DHWCalc_1!B32</f>
        <v>#VALUE!</v>
      </c>
      <c r="C214" s="313" t="e" cm="1">
        <f t="array" aca="1" ref="C214" ca="1">INDIRECT($F214&amp;C$198&amp;"!"&amp;$G214)</f>
        <v>#DIV/0!</v>
      </c>
      <c r="D214" s="313" t="e" cm="1">
        <f t="array" aca="1" ref="D214" ca="1">INDIRECT($F214&amp;D$198&amp;"!"&amp;$G214)</f>
        <v>#DIV/0!</v>
      </c>
      <c r="E214" s="389" t="e">
        <f t="shared" ca="1" si="10"/>
        <v>#DIV/0!</v>
      </c>
      <c r="F214" s="314" t="str">
        <f t="shared" ca="1" si="7"/>
        <v>DHWCalc_</v>
      </c>
      <c r="G214" s="314" t="str">
        <f t="shared" ca="1" si="8"/>
        <v>B32</v>
      </c>
      <c r="H214" s="315" t="str">
        <f t="shared" ca="1" si="9"/>
        <v>DHWCalc_1!B32</v>
      </c>
    </row>
    <row r="215" spans="1:8">
      <c r="A215" s="316" t="str">
        <f>DHWCalc_1!A34</f>
        <v>Hot Water Provided by Heat Pump</v>
      </c>
      <c r="B215" s="388" t="e">
        <f>DHWCalc_1!B34</f>
        <v>#VALUE!</v>
      </c>
      <c r="C215" s="313" t="e" cm="1">
        <f t="array" aca="1" ref="C215" ca="1">INDIRECT($F215&amp;C$198&amp;"!"&amp;$G215)</f>
        <v>#DIV/0!</v>
      </c>
      <c r="D215" s="313" t="e" cm="1">
        <f t="array" aca="1" ref="D215" ca="1">INDIRECT($F215&amp;D$198&amp;"!"&amp;$G215)</f>
        <v>#DIV/0!</v>
      </c>
      <c r="E215" s="389" t="e">
        <f t="shared" ca="1" si="10"/>
        <v>#DIV/0!</v>
      </c>
      <c r="F215" s="314" t="str">
        <f t="shared" ca="1" si="7"/>
        <v>DHWCalc_</v>
      </c>
      <c r="G215" s="314" t="str">
        <f t="shared" ca="1" si="8"/>
        <v>B34</v>
      </c>
      <c r="H215" s="315" t="str">
        <f t="shared" ca="1" si="9"/>
        <v>DHWCalc_1!B34</v>
      </c>
    </row>
    <row r="216" spans="1:8">
      <c r="A216" s="316" t="str">
        <f>DHWCalc_1!A36</f>
        <v>% Renewable</v>
      </c>
      <c r="B216" s="386">
        <f>DHWCalc_1!B36</f>
        <v>1</v>
      </c>
      <c r="C216" s="313" cm="1">
        <f t="array" aca="1" ref="C216" ca="1">INDIRECT($F216&amp;C$198&amp;"!"&amp;$G216)</f>
        <v>1</v>
      </c>
      <c r="D216" s="313" cm="1">
        <f t="array" aca="1" ref="D216" ca="1">INDIRECT($F216&amp;D$198&amp;"!"&amp;$G216)</f>
        <v>1</v>
      </c>
      <c r="E216" s="332">
        <f t="shared" ca="1" si="10"/>
        <v>1</v>
      </c>
      <c r="F216" s="314" t="str">
        <f t="shared" ca="1" si="7"/>
        <v>DHWCalc_</v>
      </c>
      <c r="G216" s="314" t="str">
        <f t="shared" ca="1" si="8"/>
        <v>B36</v>
      </c>
      <c r="H216" s="315" t="str">
        <f t="shared" ca="1" si="9"/>
        <v>DHWCalc_1!B36</v>
      </c>
    </row>
    <row r="217" spans="1:8">
      <c r="A217" s="316" t="str">
        <f>DHWCalc_1!A57</f>
        <v>SPF</v>
      </c>
      <c r="B217" s="386" t="e">
        <f>DHWCalc_1!B57</f>
        <v>#DIV/0!</v>
      </c>
      <c r="C217" s="313" t="e" cm="1">
        <f t="array" aca="1" ref="C217" ca="1">INDIRECT($F217&amp;C$198&amp;"!"&amp;$G217)</f>
        <v>#DIV/0!</v>
      </c>
      <c r="D217" s="313" t="e" cm="1">
        <f t="array" aca="1" ref="D217" ca="1">INDIRECT($F217&amp;D$198&amp;"!"&amp;$G217)</f>
        <v>#DIV/0!</v>
      </c>
      <c r="E217" s="332" t="e">
        <f t="shared" ca="1" si="10"/>
        <v>#DIV/0!</v>
      </c>
      <c r="F217" s="314" t="str">
        <f t="shared" ca="1" si="7"/>
        <v>DHWCalc_</v>
      </c>
      <c r="G217" s="314" t="str">
        <f t="shared" ca="1" si="8"/>
        <v>B57</v>
      </c>
      <c r="H217" s="315" t="str">
        <f t="shared" ca="1" si="9"/>
        <v>DHWCalc_1!B57</v>
      </c>
    </row>
    <row r="218" spans="1:8">
      <c r="A218" s="316" t="str">
        <f>DHWCalc_1!A75</f>
        <v>SPF</v>
      </c>
      <c r="B218" s="386">
        <f>DHWCalc_1!B75</f>
        <v>3.33</v>
      </c>
      <c r="C218" s="313" cm="1">
        <f t="array" aca="1" ref="C218" ca="1">INDIRECT($F218&amp;C$198&amp;"!"&amp;$G218)</f>
        <v>3.33</v>
      </c>
      <c r="D218" s="313" cm="1">
        <f t="array" aca="1" ref="D218" ca="1">INDIRECT($F218&amp;D$198&amp;"!"&amp;$G218)</f>
        <v>3.33</v>
      </c>
      <c r="E218" s="332">
        <f t="shared" ca="1" si="10"/>
        <v>3.33</v>
      </c>
      <c r="F218" s="314" t="str">
        <f t="shared" ca="1" si="7"/>
        <v>DHWCalc_</v>
      </c>
      <c r="G218" s="314" t="str">
        <f t="shared" ca="1" si="8"/>
        <v>B75</v>
      </c>
      <c r="H218" s="315" t="str">
        <f t="shared" ca="1" si="9"/>
        <v>DHWCalc_1!B75</v>
      </c>
    </row>
    <row r="219" spans="1:8">
      <c r="A219" s="316" t="str">
        <f>DHWCalc_1!U2</f>
        <v>Error - Test</v>
      </c>
      <c r="B219" s="388" t="e">
        <f>DHWCalc_1!U14</f>
        <v>#VALUE!</v>
      </c>
      <c r="C219" s="313" cm="1">
        <f t="array" aca="1" ref="C219" ca="1">INDIRECT($F219&amp;C$198&amp;"!"&amp;$G219)</f>
        <v>0</v>
      </c>
      <c r="D219" s="313" cm="1">
        <f t="array" aca="1" ref="D219" ca="1">INDIRECT($F219&amp;D$198&amp;"!"&amp;$G219)</f>
        <v>0</v>
      </c>
      <c r="E219" s="389">
        <f t="shared" ca="1" si="10"/>
        <v>0</v>
      </c>
      <c r="F219" s="314" t="str">
        <f t="shared" ca="1" si="7"/>
        <v>DHWCalc_</v>
      </c>
      <c r="G219" s="314" t="str">
        <f t="shared" ca="1" si="8"/>
        <v>U14</v>
      </c>
      <c r="H219" s="315" t="str">
        <f t="shared" ca="1" si="9"/>
        <v>DHWCalc_1!U14</v>
      </c>
    </row>
    <row r="220" spans="1:8">
      <c r="A220" s="316" t="str">
        <f>DHWCalc_1!V2</f>
        <v>Error - Dwelling</v>
      </c>
      <c r="B220" s="388">
        <f>DHWCalc_1!V14</f>
        <v>1</v>
      </c>
      <c r="C220" s="313" cm="1">
        <f t="array" aca="1" ref="C220" ca="1">INDIRECT($F220&amp;C$198&amp;"!"&amp;$G220)</f>
        <v>1</v>
      </c>
      <c r="D220" s="313" cm="1">
        <f t="array" aca="1" ref="D220" ca="1">INDIRECT($F220&amp;D$198&amp;"!"&amp;$G220)</f>
        <v>1</v>
      </c>
      <c r="E220" s="389">
        <f t="shared" ca="1" si="10"/>
        <v>1</v>
      </c>
      <c r="F220" s="314" t="str">
        <f t="shared" ca="1" si="7"/>
        <v>DHWCalc_</v>
      </c>
      <c r="G220" s="314" t="str">
        <f t="shared" ca="1" si="8"/>
        <v>V14</v>
      </c>
      <c r="H220" s="315" t="str">
        <f t="shared" ca="1" si="9"/>
        <v>DHWCalc_1!V14</v>
      </c>
    </row>
    <row r="221" spans="1:8" ht="109.9" customHeight="1">
      <c r="A221" s="316" t="s">
        <v>578</v>
      </c>
      <c r="B221" s="392" t="str">
        <f>DHWCalc_1!U16</f>
        <v>WARNING: As the test storage Volume does not meet requirements in Ecodesign Directive, the assessor must contact the manufacturer to advise that test volume is not appropriate for the declared load profile and request revised test results.</v>
      </c>
      <c r="C221" s="313" t="str" cm="1">
        <f t="array" aca="1" ref="C221" ca="1">INDIRECT($F221&amp;C$198&amp;"!"&amp;$G221)</f>
        <v>WARNING: As the test storage Volume does not meet requirements in Ecodesign Directive, the assessor must contact the manufacturer to advise that test volume is not appropriate for the declared load profile and request revised test results.</v>
      </c>
      <c r="D221" s="313" t="str" cm="1">
        <f t="array" aca="1" ref="D221" ca="1">INDIRECT($F221&amp;D$198&amp;"!"&amp;$G221)</f>
        <v>WARNING: As the test storage Volume does not meet requirements in Ecodesign Directive, the assessor must contact the manufacturer to advise that test volume is not appropriate for the declared load profile and request revised test results.</v>
      </c>
      <c r="E221" s="393" t="str">
        <f t="shared" ca="1" si="10"/>
        <v>WARNING: As the test storage Volume does not meet requirements in Ecodesign Directive, the assessor must contact the manufacturer to advise that test volume is not appropriate for the declared load profile and request revised test results.</v>
      </c>
      <c r="F221" s="314" t="str">
        <f t="shared" ca="1" si="7"/>
        <v>DHWCalc_</v>
      </c>
      <c r="G221" s="314" t="str">
        <f t="shared" ca="1" si="8"/>
        <v>U16</v>
      </c>
      <c r="H221" s="315" t="str">
        <f t="shared" ca="1" si="9"/>
        <v>DHWCalc_1!U16</v>
      </c>
    </row>
    <row r="222" spans="1:8" ht="154.15" customHeight="1">
      <c r="A222" s="316" t="s">
        <v>579</v>
      </c>
      <c r="B222" s="392" t="str">
        <f>DHWCalc_1!V16</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C222" s="313" t="str" cm="1">
        <f t="array" aca="1" ref="C222" ca="1">INDIRECT($F222&amp;C$198&amp;"!"&amp;$G222)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D222" s="313" t="str" cm="1">
        <f t="array" aca="1" ref="D222" ca="1">INDIRECT($F222&amp;D$198&amp;"!"&amp;$G222)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E222" s="393" t="str">
        <f t="shared" ca="1" si="10"/>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F222" s="314" t="str">
        <f t="shared" ca="1" si="7"/>
        <v>DHWCalc_</v>
      </c>
      <c r="G222" s="314" t="str">
        <f t="shared" ca="1" si="8"/>
        <v>V16</v>
      </c>
      <c r="H222" s="315" t="str">
        <f t="shared" ca="1" si="9"/>
        <v>DHWCalc_1!V16</v>
      </c>
    </row>
    <row r="223" spans="1:8">
      <c r="A223" s="310" t="s">
        <v>582</v>
      </c>
    </row>
    <row r="224" spans="1:8" ht="30">
      <c r="A224" s="316" t="s">
        <v>583</v>
      </c>
      <c r="B224" s="320" t="str">
        <f>SpaceStandardsID_1!A31</f>
        <v>Valid space heat pump type selected.</v>
      </c>
      <c r="C224" s="313" t="str" cm="1">
        <f t="array" aca="1" ref="C224" ca="1">INDIRECT($F224&amp;C$198&amp;"!"&amp;$G224)</f>
        <v>Valid space heat pump type selected.</v>
      </c>
      <c r="D224" s="313" t="str" cm="1">
        <f t="array" aca="1" ref="D224" ca="1">INDIRECT($F224&amp;D$198&amp;"!"&amp;$G224)</f>
        <v>Valid space heat pump type selected.</v>
      </c>
      <c r="E224" s="394" t="str">
        <f ca="1">VLOOKUP(A224,A224:D224,$G$1+1,FALSE)</f>
        <v>Valid space heat pump type selected.</v>
      </c>
      <c r="F224" s="395" t="str">
        <f t="shared" ref="F224:F229" ca="1" si="11">LEFT(H224,FIND("1",H224)-1)</f>
        <v>SpaceStandardsID_</v>
      </c>
      <c r="G224" s="314" t="str">
        <f t="shared" ref="G224:G229" ca="1" si="12">RIGHT(H224,LEN(H224)-FIND("!",H224))</f>
        <v>A31</v>
      </c>
      <c r="H224" s="315" t="str">
        <f t="shared" ref="H224:H229" ca="1" si="13">SUBSTITUTE( _xlfn.FORMULATEXT(B224),"=","")</f>
        <v>SpaceStandardsID_1!A31</v>
      </c>
    </row>
    <row r="225" spans="1:8" ht="28.5">
      <c r="A225" s="316" t="s">
        <v>584</v>
      </c>
      <c r="B225" s="320" t="str">
        <f>SpaceStandardsID_1!B31</f>
        <v>Air to Water</v>
      </c>
      <c r="C225" s="313" t="str" cm="1">
        <f t="array" aca="1" ref="C225" ca="1">INDIRECT($F225&amp;C$198&amp;"!"&amp;$G225)</f>
        <v>Air to Water</v>
      </c>
      <c r="D225" s="313" t="str" cm="1">
        <f t="array" aca="1" ref="D225" ca="1">INDIRECT($F225&amp;D$198&amp;"!"&amp;$G225)</f>
        <v>Air to Water</v>
      </c>
      <c r="E225" s="394" t="str">
        <f t="shared" ref="E225:E229" ca="1" si="14">VLOOKUP(A225,A225:D225,$G$1+1,FALSE)</f>
        <v>Air to Water</v>
      </c>
      <c r="F225" s="395" t="str">
        <f t="shared" ca="1" si="11"/>
        <v>SpaceStandardsID_</v>
      </c>
      <c r="G225" s="314" t="str">
        <f t="shared" ca="1" si="12"/>
        <v>B31</v>
      </c>
      <c r="H225" s="315" t="str">
        <f t="shared" ca="1" si="13"/>
        <v>SpaceStandardsID_1!B31</v>
      </c>
    </row>
    <row r="226" spans="1:8" ht="28.5">
      <c r="A226" s="316" t="s">
        <v>585</v>
      </c>
      <c r="B226" s="320" t="str">
        <f>SpaceStandardsID_1!C31</f>
        <v>Electricity</v>
      </c>
      <c r="C226" s="313" t="str" cm="1">
        <f t="array" aca="1" ref="C226" ca="1">INDIRECT($F226&amp;C$198&amp;"!"&amp;$G226)</f>
        <v>Electricity</v>
      </c>
      <c r="D226" s="313" t="str" cm="1">
        <f t="array" aca="1" ref="D226" ca="1">INDIRECT($F226&amp;D$198&amp;"!"&amp;$G226)</f>
        <v>Electricity</v>
      </c>
      <c r="E226" s="394" t="str">
        <f t="shared" ca="1" si="14"/>
        <v>Electricity</v>
      </c>
      <c r="F226" s="395" t="str">
        <f t="shared" ca="1" si="11"/>
        <v>SpaceStandardsID_</v>
      </c>
      <c r="G226" s="314" t="str">
        <f t="shared" ca="1" si="12"/>
        <v>C31</v>
      </c>
      <c r="H226" s="315" t="str">
        <f t="shared" ca="1" si="13"/>
        <v>SpaceStandardsID_1!C31</v>
      </c>
    </row>
    <row r="227" spans="1:8" ht="30">
      <c r="A227" s="316" t="s">
        <v>586</v>
      </c>
      <c r="B227" s="320" t="str">
        <f>SpaceStandardsID_1!D31</f>
        <v>Not low temperature heat pump</v>
      </c>
      <c r="C227" s="313" t="str" cm="1">
        <f t="array" aca="1" ref="C227" ca="1">INDIRECT($F227&amp;C$198&amp;"!"&amp;$G227)</f>
        <v>Not low temperature heat pump</v>
      </c>
      <c r="D227" s="313" t="str" cm="1">
        <f t="array" aca="1" ref="D227" ca="1">INDIRECT($F227&amp;D$198&amp;"!"&amp;$G227)</f>
        <v>Not low temperature heat pump</v>
      </c>
      <c r="E227" s="394" t="str">
        <f t="shared" ca="1" si="14"/>
        <v>Not low temperature heat pump</v>
      </c>
      <c r="F227" s="395" t="str">
        <f t="shared" ca="1" si="11"/>
        <v>SpaceStandardsID_</v>
      </c>
      <c r="G227" s="314" t="str">
        <f t="shared" ca="1" si="12"/>
        <v>D31</v>
      </c>
      <c r="H227" s="315" t="str">
        <f t="shared" ca="1" si="13"/>
        <v>SpaceStandardsID_1!D31</v>
      </c>
    </row>
    <row r="228" spans="1:8" ht="45">
      <c r="A228" s="316" t="s">
        <v>587</v>
      </c>
      <c r="B228" s="320" t="str">
        <f>SpaceStandardsID_1!E31</f>
        <v>Ecodesign applies and/or ecodesign data available</v>
      </c>
      <c r="C228" s="313" t="str" cm="1">
        <f t="array" aca="1" ref="C228" ca="1">INDIRECT($F228&amp;C$198&amp;"!"&amp;$G228)</f>
        <v>Ecodesign applies and/or ecodesign data available</v>
      </c>
      <c r="D228" s="313" t="str" cm="1">
        <f t="array" aca="1" ref="D228" ca="1">INDIRECT($F228&amp;D$198&amp;"!"&amp;$G228)</f>
        <v>Ecodesign applies and/or ecodesign data available</v>
      </c>
      <c r="E228" s="394" t="str">
        <f t="shared" ca="1" si="14"/>
        <v>Ecodesign applies and/or ecodesign data available</v>
      </c>
      <c r="F228" s="395" t="str">
        <f t="shared" ca="1" si="11"/>
        <v>SpaceStandardsID_</v>
      </c>
      <c r="G228" s="314" t="str">
        <f t="shared" ca="1" si="12"/>
        <v>E31</v>
      </c>
      <c r="H228" s="315" t="str">
        <f t="shared" ca="1" si="13"/>
        <v>SpaceStandardsID_1!E31</v>
      </c>
    </row>
    <row r="229" spans="1:8" ht="84.6" customHeight="1">
      <c r="A229" s="316" t="s">
        <v>588</v>
      </c>
      <c r="B229" s="320" t="str">
        <f>SpaceStandardsID_1!K31</f>
        <v xml:space="preserve">I.S. EN 14825
</v>
      </c>
      <c r="C229" s="313" t="str" cm="1">
        <f t="array" aca="1" ref="C229" ca="1">INDIRECT($F229&amp;C$198&amp;"!"&amp;$G229)</f>
        <v xml:space="preserve">I.S. EN 14825
</v>
      </c>
      <c r="D229" s="313" t="str" cm="1">
        <f t="array" aca="1" ref="D229" ca="1">INDIRECT($F229&amp;D$198&amp;"!"&amp;$G229)</f>
        <v xml:space="preserve">I.S. EN 14825
</v>
      </c>
      <c r="E229" s="394" t="str">
        <f t="shared" ca="1" si="14"/>
        <v xml:space="preserve">I.S. EN 14825
</v>
      </c>
      <c r="F229" s="395" t="str">
        <f t="shared" ca="1" si="11"/>
        <v>SpaceStandardsID_</v>
      </c>
      <c r="G229" s="314" t="str">
        <f t="shared" ca="1" si="12"/>
        <v>K31</v>
      </c>
      <c r="H229" s="315" t="str">
        <f t="shared" ca="1" si="13"/>
        <v>SpaceStandardsID_1!K31</v>
      </c>
    </row>
    <row r="230" spans="1:8">
      <c r="A230" s="310" t="s">
        <v>589</v>
      </c>
    </row>
    <row r="231" spans="1:8" ht="30">
      <c r="A231" s="316" t="s">
        <v>583</v>
      </c>
      <c r="B231" s="320" t="str">
        <f>WaterStandardsID_1!A17</f>
        <v>Valid water heat pump type selected.</v>
      </c>
      <c r="C231" s="313" t="str" cm="1">
        <f t="array" aca="1" ref="C231" ca="1">INDIRECT($F231&amp;C$198&amp;"!"&amp;$G231)</f>
        <v>Valid water heat pump type selected.</v>
      </c>
      <c r="D231" s="313" t="str" cm="1">
        <f t="array" aca="1" ref="D231" ca="1">INDIRECT($F231&amp;D$198&amp;"!"&amp;$G231)</f>
        <v>Valid water heat pump type selected.</v>
      </c>
      <c r="E231" s="394" t="str">
        <f ca="1">VLOOKUP(A231,A231:D231,$G$1+1,FALSE)</f>
        <v>Valid water heat pump type selected.</v>
      </c>
      <c r="F231" s="395" t="str">
        <f t="shared" ref="F231:F235" ca="1" si="15">LEFT(H231,FIND("1",H231)-1)</f>
        <v>WaterStandardsID_</v>
      </c>
      <c r="G231" s="314" t="str">
        <f t="shared" ref="G231:G235" ca="1" si="16">RIGHT(H231,LEN(H231)-FIND("!",H231))</f>
        <v>A17</v>
      </c>
      <c r="H231" s="315" t="str">
        <f t="shared" ref="H231:H235" ca="1" si="17">SUBSTITUTE( _xlfn.FORMULATEXT(B231),"=","")</f>
        <v>WaterStandardsID_1!A17</v>
      </c>
    </row>
    <row r="232" spans="1:8" ht="28.5">
      <c r="A232" s="316" t="s">
        <v>584</v>
      </c>
      <c r="B232" s="320" t="str">
        <f>WaterStandardsID_1!B16</f>
        <v>Air to Water</v>
      </c>
      <c r="C232" s="313" t="str" cm="1">
        <f t="array" aca="1" ref="C232" ca="1">INDIRECT($F232&amp;C$198&amp;"!"&amp;$G232)</f>
        <v>Air to Water</v>
      </c>
      <c r="D232" s="313" t="str" cm="1">
        <f t="array" aca="1" ref="D232" ca="1">INDIRECT($F232&amp;D$198&amp;"!"&amp;$G232)</f>
        <v>Air to Water</v>
      </c>
      <c r="E232" s="394" t="str">
        <f t="shared" ref="E232:E235" ca="1" si="18">VLOOKUP(A232,A232:D232,$G$1+1,FALSE)</f>
        <v>Air to Water</v>
      </c>
      <c r="F232" s="395" t="str">
        <f t="shared" ca="1" si="15"/>
        <v>WaterStandardsID_</v>
      </c>
      <c r="G232" s="314" t="str">
        <f t="shared" ca="1" si="16"/>
        <v>B16</v>
      </c>
      <c r="H232" s="315" t="str">
        <f t="shared" ca="1" si="17"/>
        <v>WaterStandardsID_1!B16</v>
      </c>
    </row>
    <row r="233" spans="1:8" ht="28.5">
      <c r="A233" s="316" t="s">
        <v>585</v>
      </c>
      <c r="B233" s="320" t="str">
        <f>WaterStandardsID_1!C16</f>
        <v>Electricity</v>
      </c>
      <c r="C233" s="313" t="str" cm="1">
        <f t="array" aca="1" ref="C233" ca="1">INDIRECT($F233&amp;C$198&amp;"!"&amp;$G233)</f>
        <v>Electricity</v>
      </c>
      <c r="D233" s="313" t="str" cm="1">
        <f t="array" aca="1" ref="D233" ca="1">INDIRECT($F233&amp;D$198&amp;"!"&amp;$G233)</f>
        <v>Electricity</v>
      </c>
      <c r="E233" s="394" t="str">
        <f t="shared" ca="1" si="18"/>
        <v>Electricity</v>
      </c>
      <c r="F233" s="395" t="str">
        <f t="shared" ca="1" si="15"/>
        <v>WaterStandardsID_</v>
      </c>
      <c r="G233" s="314" t="str">
        <f t="shared" ca="1" si="16"/>
        <v>C16</v>
      </c>
      <c r="H233" s="315" t="str">
        <f t="shared" ca="1" si="17"/>
        <v>WaterStandardsID_1!C16</v>
      </c>
    </row>
    <row r="234" spans="1:8" ht="45">
      <c r="A234" s="316" t="s">
        <v>587</v>
      </c>
      <c r="B234" s="396" t="str">
        <f>WaterStandardsID_1!D16</f>
        <v>Ecodesign applies and/or ecodesign data available</v>
      </c>
      <c r="C234" s="313" t="str" cm="1">
        <f t="array" aca="1" ref="C234" ca="1">INDIRECT($F234&amp;C$198&amp;"!"&amp;$G234)</f>
        <v>Ecodesign applies and/or ecodesign data available</v>
      </c>
      <c r="D234" s="313" t="str" cm="1">
        <f t="array" aca="1" ref="D234" ca="1">INDIRECT($F234&amp;D$198&amp;"!"&amp;$G234)</f>
        <v>Ecodesign applies and/or ecodesign data available</v>
      </c>
      <c r="E234" s="394" t="str">
        <f t="shared" ca="1" si="18"/>
        <v>Ecodesign applies and/or ecodesign data available</v>
      </c>
      <c r="F234" s="395" t="str">
        <f t="shared" ca="1" si="15"/>
        <v>WaterStandardsID_</v>
      </c>
      <c r="G234" s="314" t="str">
        <f t="shared" ca="1" si="16"/>
        <v>D16</v>
      </c>
      <c r="H234" s="315" t="str">
        <f t="shared" ca="1" si="17"/>
        <v>WaterStandardsID_1!D16</v>
      </c>
    </row>
    <row r="235" spans="1:8" ht="90.6" customHeight="1">
      <c r="A235" s="316" t="s">
        <v>588</v>
      </c>
      <c r="B235" s="320" t="str">
        <f>WaterStandardsID_1!J16</f>
        <v>I.S. EN 16147
I.S. EN 14825/14511</v>
      </c>
      <c r="C235" s="313" t="str" cm="1">
        <f t="array" aca="1" ref="C235" ca="1">INDIRECT($F235&amp;C$198&amp;"!"&amp;$G235)</f>
        <v>I.S. EN 16147
I.S. EN 14825/14511</v>
      </c>
      <c r="D235" s="313" t="str" cm="1">
        <f t="array" aca="1" ref="D235" ca="1">INDIRECT($F235&amp;D$198&amp;"!"&amp;$G235)</f>
        <v>I.S. EN 16147
I.S. EN 14825/14511</v>
      </c>
      <c r="E235" s="394" t="str">
        <f t="shared" ca="1" si="18"/>
        <v>I.S. EN 16147
I.S. EN 14825/14511</v>
      </c>
      <c r="F235" s="395" t="str">
        <f t="shared" ca="1" si="15"/>
        <v>WaterStandardsID_</v>
      </c>
      <c r="G235" s="314" t="str">
        <f t="shared" ca="1" si="16"/>
        <v>J16</v>
      </c>
      <c r="H235" s="315" t="str">
        <f t="shared" ca="1" si="17"/>
        <v>WaterStandardsID_1!J16</v>
      </c>
    </row>
  </sheetData>
  <sheetProtection algorithmName="SHA-512" hashValue="uJJKExkdHQhzp8LHzBzkq88kgOvUJe5Afe3gX4k9pUIMgxXWqEDnmaMMLl8OObABDzYjnaRDwa4n2NKIFPE4RA==" saltValue="CA9aIDmEPNXS0KdN54LjcQ==" spinCount="100000" sheet="1" objects="1" scenarios="1"/>
  <mergeCells count="72">
    <mergeCell ref="D13:F13"/>
    <mergeCell ref="D2:G2"/>
    <mergeCell ref="D3:G3"/>
    <mergeCell ref="D4:G4"/>
    <mergeCell ref="D5:G5"/>
    <mergeCell ref="D6:G6"/>
    <mergeCell ref="D7:G7"/>
    <mergeCell ref="D8:G8"/>
    <mergeCell ref="C9:I9"/>
    <mergeCell ref="D10:F10"/>
    <mergeCell ref="D11:F11"/>
    <mergeCell ref="D12:F12"/>
    <mergeCell ref="D29:F29"/>
    <mergeCell ref="D14:F14"/>
    <mergeCell ref="D15:F15"/>
    <mergeCell ref="D16:F16"/>
    <mergeCell ref="D17:F17"/>
    <mergeCell ref="D18:F18"/>
    <mergeCell ref="D19:F19"/>
    <mergeCell ref="D22:F22"/>
    <mergeCell ref="D24:F24"/>
    <mergeCell ref="D25:F25"/>
    <mergeCell ref="D26:F26"/>
    <mergeCell ref="D27:F27"/>
    <mergeCell ref="A58:A59"/>
    <mergeCell ref="D31:F31"/>
    <mergeCell ref="D32:F32"/>
    <mergeCell ref="D33:F33"/>
    <mergeCell ref="D35:F35"/>
    <mergeCell ref="A38:A41"/>
    <mergeCell ref="D38:F41"/>
    <mergeCell ref="G38:G41"/>
    <mergeCell ref="D42:F42"/>
    <mergeCell ref="A46:A47"/>
    <mergeCell ref="A50:A51"/>
    <mergeCell ref="A54:A55"/>
    <mergeCell ref="D73:F73"/>
    <mergeCell ref="C62:I62"/>
    <mergeCell ref="D63:F63"/>
    <mergeCell ref="D64:F64"/>
    <mergeCell ref="D65:F65"/>
    <mergeCell ref="D66:F66"/>
    <mergeCell ref="D67:F67"/>
    <mergeCell ref="D68:F68"/>
    <mergeCell ref="D69:F69"/>
    <mergeCell ref="D70:F70"/>
    <mergeCell ref="D71:F71"/>
    <mergeCell ref="D72:F72"/>
    <mergeCell ref="D89:F89"/>
    <mergeCell ref="D74:F74"/>
    <mergeCell ref="D75:F75"/>
    <mergeCell ref="D77:F77"/>
    <mergeCell ref="D80:G80"/>
    <mergeCell ref="D81:F81"/>
    <mergeCell ref="D82:F82"/>
    <mergeCell ref="D84:F84"/>
    <mergeCell ref="D85:F85"/>
    <mergeCell ref="D86:F86"/>
    <mergeCell ref="D87:F87"/>
    <mergeCell ref="D88:F88"/>
    <mergeCell ref="D109:F109"/>
    <mergeCell ref="D90:G90"/>
    <mergeCell ref="D93:F93"/>
    <mergeCell ref="D94:F94"/>
    <mergeCell ref="D95:F95"/>
    <mergeCell ref="D96:F96"/>
    <mergeCell ref="D100:F100"/>
    <mergeCell ref="D101:F101"/>
    <mergeCell ref="D102:F102"/>
    <mergeCell ref="D106:F106"/>
    <mergeCell ref="D107:F107"/>
    <mergeCell ref="D108:F108"/>
  </mergeCells>
  <conditionalFormatting sqref="B100:B102">
    <cfRule type="expression" dxfId="123" priority="53" stopIfTrue="1">
      <formula>$B$68&lt;&gt;"I.S. EN 255-3"</formula>
    </cfRule>
  </conditionalFormatting>
  <conditionalFormatting sqref="B33:B36">
    <cfRule type="expression" dxfId="122" priority="49">
      <formula>$B$32="No"</formula>
    </cfRule>
  </conditionalFormatting>
  <conditionalFormatting sqref="B75:B78">
    <cfRule type="expression" dxfId="121" priority="50" stopIfTrue="1">
      <formula>$B$74="No"</formula>
    </cfRule>
  </conditionalFormatting>
  <conditionalFormatting sqref="A38:G59">
    <cfRule type="expression" dxfId="120" priority="51">
      <formula>OR($B$14="I.S. EN 14511")</formula>
    </cfRule>
  </conditionalFormatting>
  <conditionalFormatting sqref="B92:B96">
    <cfRule type="expression" dxfId="119" priority="52" stopIfTrue="1">
      <formula>AND($B$14&lt;&gt;"I.S. EN 14511",$B$68&lt;&gt;"I.S. EN 14511")</formula>
    </cfRule>
  </conditionalFormatting>
  <conditionalFormatting sqref="B13">
    <cfRule type="expression" dxfId="118" priority="54" stopIfTrue="1">
      <formula>$B$14="I.S. EN 14511"</formula>
    </cfRule>
  </conditionalFormatting>
  <conditionalFormatting sqref="B14">
    <cfRule type="expression" dxfId="117" priority="55" stopIfTrue="1">
      <formula>#REF!="Domestic Hot Water"</formula>
    </cfRule>
  </conditionalFormatting>
  <conditionalFormatting sqref="B32:F36 B15:B16">
    <cfRule type="expression" dxfId="116" priority="56">
      <formula>OR($B$14="I.S. EN 14511")</formula>
    </cfRule>
  </conditionalFormatting>
  <conditionalFormatting sqref="B74 B70">
    <cfRule type="expression" dxfId="115" priority="57" stopIfTrue="1">
      <formula>OR(#REF!="Space Heating")</formula>
    </cfRule>
  </conditionalFormatting>
  <conditionalFormatting sqref="C48:G51">
    <cfRule type="expression" dxfId="114" priority="48">
      <formula>$C$40="No"</formula>
    </cfRule>
  </conditionalFormatting>
  <conditionalFormatting sqref="B19">
    <cfRule type="expression" dxfId="113" priority="58" stopIfTrue="1">
      <formula>#REF!="Domestic Hot Water"</formula>
    </cfRule>
  </conditionalFormatting>
  <conditionalFormatting sqref="B73">
    <cfRule type="expression" dxfId="112" priority="59" stopIfTrue="1">
      <formula>OR(#REF!="Space Heating",#REF!="I.S. EN 14511",#REF!="I.S. EN 255-3",$B$70="No Hot Water Store")</formula>
    </cfRule>
  </conditionalFormatting>
  <conditionalFormatting sqref="B73">
    <cfRule type="expression" dxfId="111" priority="60" stopIfTrue="1">
      <formula>OR(#REF!="I.S. EN 14511",#REF!="I.S. EN 255-3",#REF!="Space heating",$B$70="No Hot Water Store")</formula>
    </cfRule>
  </conditionalFormatting>
  <conditionalFormatting sqref="B29">
    <cfRule type="expression" dxfId="110" priority="61" stopIfTrue="1">
      <formula>AND($B$14="I.S. EN 14511",$B$68="I.S. EN 14511")</formula>
    </cfRule>
  </conditionalFormatting>
  <conditionalFormatting sqref="B83:B89">
    <cfRule type="expression" dxfId="109" priority="62" stopIfTrue="1">
      <formula>OR($B$68="I.S. EN 255-3",$B$68="I.S. EN 14511")</formula>
    </cfRule>
  </conditionalFormatting>
  <conditionalFormatting sqref="D91:F97 D90">
    <cfRule type="expression" dxfId="108" priority="47">
      <formula>OR(#REF!="Space heating",#REF!="I.S. EN 14511",#REF!="I.S. EN 255-3")</formula>
    </cfRule>
  </conditionalFormatting>
  <conditionalFormatting sqref="B74">
    <cfRule type="expression" dxfId="107" priority="46">
      <formula>#REF!="I.S. EN 14511"</formula>
    </cfRule>
  </conditionalFormatting>
  <conditionalFormatting sqref="B82">
    <cfRule type="expression" dxfId="106" priority="45" stopIfTrue="1">
      <formula>OR($B$68="I.S. EN 255-3",$B$68="I.S. EN 14511")</formula>
    </cfRule>
  </conditionalFormatting>
  <conditionalFormatting sqref="B81">
    <cfRule type="expression" dxfId="105" priority="44">
      <formula>OR($B$68="I.S. EN 255-3",$B$68="I.S. EN 14511")</formula>
    </cfRule>
  </conditionalFormatting>
  <conditionalFormatting sqref="B66">
    <cfRule type="expression" dxfId="104" priority="42" stopIfTrue="1">
      <formula>$B$14="I.S. EN 14511"</formula>
    </cfRule>
  </conditionalFormatting>
  <conditionalFormatting sqref="B68">
    <cfRule type="expression" dxfId="103" priority="43" stopIfTrue="1">
      <formula>#REF!="Space heating"</formula>
    </cfRule>
  </conditionalFormatting>
  <conditionalFormatting sqref="B17">
    <cfRule type="expression" dxfId="102" priority="41" stopIfTrue="1">
      <formula>OR($B$14="I.S. EN 14511",#REF!="Domestic Hot Water")</formula>
    </cfRule>
  </conditionalFormatting>
  <conditionalFormatting sqref="B69">
    <cfRule type="expression" dxfId="101" priority="40" stopIfTrue="1">
      <formula>OR($B$14="I.S. EN 14511",#REF!="Domestic Hot Water")</formula>
    </cfRule>
  </conditionalFormatting>
  <conditionalFormatting sqref="C56:G59">
    <cfRule type="expression" dxfId="100" priority="39">
      <formula>$C$41="No"</formula>
    </cfRule>
  </conditionalFormatting>
  <conditionalFormatting sqref="C9 A37:G38 A10:I36 A39:I61">
    <cfRule type="expression" dxfId="99" priority="38">
      <formula>$N$10=FALSE</formula>
    </cfRule>
  </conditionalFormatting>
  <conditionalFormatting sqref="A99:I102 C62 A69:H69 A63:I68 A70:I90">
    <cfRule type="expression" dxfId="98" priority="37">
      <formula>$N$11=FALSE</formula>
    </cfRule>
  </conditionalFormatting>
  <conditionalFormatting sqref="B8">
    <cfRule type="expression" dxfId="97" priority="36" stopIfTrue="1">
      <formula>OR($B$14="I.S. EN 14511")</formula>
    </cfRule>
  </conditionalFormatting>
  <conditionalFormatting sqref="A8:G8">
    <cfRule type="expression" dxfId="96" priority="35">
      <formula>$B$5="No"</formula>
    </cfRule>
  </conditionalFormatting>
  <conditionalFormatting sqref="C38">
    <cfRule type="expression" dxfId="95" priority="34">
      <formula>OR($B$14="I.S. EN 14511")</formula>
    </cfRule>
  </conditionalFormatting>
  <conditionalFormatting sqref="D38:G41 A38:A41 C42 B42:B43 A45:A47 A49:A55 A57:A59">
    <cfRule type="expression" dxfId="94" priority="33">
      <formula>OR($G$25=$T$3,$B$27=$P$2)</formula>
    </cfRule>
  </conditionalFormatting>
  <conditionalFormatting sqref="A56">
    <cfRule type="expression" dxfId="93" priority="32">
      <formula>$N$10=FALSE</formula>
    </cfRule>
  </conditionalFormatting>
  <conditionalFormatting sqref="A66">
    <cfRule type="expression" dxfId="92" priority="31">
      <formula>$N$11=FALSE</formula>
    </cfRule>
  </conditionalFormatting>
  <conditionalFormatting sqref="B63:B64">
    <cfRule type="expression" dxfId="91" priority="30">
      <formula>$N$10=FALSE</formula>
    </cfRule>
  </conditionalFormatting>
  <conditionalFormatting sqref="C9:I9">
    <cfRule type="containsText" dxfId="90" priority="29" operator="containsText" text="Error">
      <formula>NOT(ISERROR(SEARCH("Error",C9)))</formula>
    </cfRule>
  </conditionalFormatting>
  <conditionalFormatting sqref="C62:I62">
    <cfRule type="containsText" dxfId="89" priority="28" operator="containsText" text="ERROR">
      <formula>NOT(ISERROR(SEARCH("ERROR",C62)))</formula>
    </cfRule>
  </conditionalFormatting>
  <conditionalFormatting sqref="B16">
    <cfRule type="expression" dxfId="88" priority="27">
      <formula>($B$24="Yesnextversion")</formula>
    </cfRule>
  </conditionalFormatting>
  <conditionalFormatting sqref="J37">
    <cfRule type="expression" dxfId="87" priority="26">
      <formula>OR($B$14="I.S. EN 14511")</formula>
    </cfRule>
  </conditionalFormatting>
  <conditionalFormatting sqref="J37">
    <cfRule type="expression" dxfId="86" priority="25">
      <formula>$N$10=FALSE</formula>
    </cfRule>
  </conditionalFormatting>
  <conditionalFormatting sqref="J38">
    <cfRule type="expression" dxfId="85" priority="24">
      <formula>OR($B$14="I.S. EN 14511")</formula>
    </cfRule>
  </conditionalFormatting>
  <conditionalFormatting sqref="J38">
    <cfRule type="expression" dxfId="84" priority="23">
      <formula>$N$10=FALSE</formula>
    </cfRule>
  </conditionalFormatting>
  <conditionalFormatting sqref="J39">
    <cfRule type="expression" dxfId="83" priority="22">
      <formula>OR($B$14="I.S. EN 14511")</formula>
    </cfRule>
  </conditionalFormatting>
  <conditionalFormatting sqref="J39">
    <cfRule type="expression" dxfId="82" priority="21">
      <formula>$N$10=FALSE</formula>
    </cfRule>
  </conditionalFormatting>
  <conditionalFormatting sqref="H37">
    <cfRule type="expression" dxfId="81" priority="20">
      <formula>OR($B$14="I.S. EN 14511")</formula>
    </cfRule>
  </conditionalFormatting>
  <conditionalFormatting sqref="H37">
    <cfRule type="expression" dxfId="80" priority="19">
      <formula>$N$10=FALSE</formula>
    </cfRule>
  </conditionalFormatting>
  <conditionalFormatting sqref="I37">
    <cfRule type="expression" dxfId="79" priority="18">
      <formula>OR($B$14="I.S. EN 14511")</formula>
    </cfRule>
  </conditionalFormatting>
  <conditionalFormatting sqref="I37">
    <cfRule type="expression" dxfId="78" priority="17">
      <formula>$N$10=FALSE</formula>
    </cfRule>
  </conditionalFormatting>
  <conditionalFormatting sqref="H38">
    <cfRule type="expression" dxfId="77" priority="16">
      <formula>OR($B$14="I.S. EN 14511")</formula>
    </cfRule>
  </conditionalFormatting>
  <conditionalFormatting sqref="H38">
    <cfRule type="expression" dxfId="76" priority="15">
      <formula>$N$10=FALSE</formula>
    </cfRule>
  </conditionalFormatting>
  <conditionalFormatting sqref="I38">
    <cfRule type="expression" dxfId="75" priority="14">
      <formula>OR($B$14="I.S. EN 14511")</formula>
    </cfRule>
  </conditionalFormatting>
  <conditionalFormatting sqref="I38">
    <cfRule type="expression" dxfId="74" priority="13">
      <formula>$N$10=FALSE</formula>
    </cfRule>
  </conditionalFormatting>
  <conditionalFormatting sqref="J40">
    <cfRule type="expression" dxfId="73" priority="12">
      <formula>OR($B$14="I.S. EN 14511")</formula>
    </cfRule>
  </conditionalFormatting>
  <conditionalFormatting sqref="J40">
    <cfRule type="expression" dxfId="72" priority="11">
      <formula>$N$10=FALSE</formula>
    </cfRule>
  </conditionalFormatting>
  <conditionalFormatting sqref="J41">
    <cfRule type="expression" dxfId="71" priority="10">
      <formula>OR($B$14="I.S. EN 14511")</formula>
    </cfRule>
  </conditionalFormatting>
  <conditionalFormatting sqref="J41">
    <cfRule type="expression" dxfId="70" priority="9">
      <formula>$N$10=FALSE</formula>
    </cfRule>
  </conditionalFormatting>
  <conditionalFormatting sqref="D14:F14">
    <cfRule type="containsText" dxfId="69" priority="8" operator="containsText" text="ERROR">
      <formula>NOT(ISERROR(SEARCH("ERROR",D14)))</formula>
    </cfRule>
  </conditionalFormatting>
  <conditionalFormatting sqref="D68:F68">
    <cfRule type="containsText" dxfId="68" priority="7" operator="containsText" text="ERROR">
      <formula>NOT(ISERROR(SEARCH("ERROR",D68)))</formula>
    </cfRule>
  </conditionalFormatting>
  <conditionalFormatting sqref="I68">
    <cfRule type="expression" dxfId="67" priority="6" stopIfTrue="1">
      <formula>OR($B$14="I.S. EN 14511",#REF!="Domestic Hot Water")</formula>
    </cfRule>
  </conditionalFormatting>
  <conditionalFormatting sqref="J67">
    <cfRule type="expression" dxfId="66" priority="5">
      <formula>$N$11=FALSE</formula>
    </cfRule>
  </conditionalFormatting>
  <conditionalFormatting sqref="J68">
    <cfRule type="expression" dxfId="65" priority="4" stopIfTrue="1">
      <formula>OR($B$14="I.S. EN 14511",#REF!="Domestic Hot Water")</formula>
    </cfRule>
  </conditionalFormatting>
  <conditionalFormatting sqref="J68">
    <cfRule type="expression" dxfId="64" priority="3">
      <formula>$N$11=FALSE</formula>
    </cfRule>
  </conditionalFormatting>
  <conditionalFormatting sqref="C52:G55">
    <cfRule type="expression" dxfId="63" priority="2">
      <formula>$C$38="No"</formula>
    </cfRule>
  </conditionalFormatting>
  <conditionalFormatting sqref="C44:G47">
    <cfRule type="expression" dxfId="62" priority="1">
      <formula>$C$39="No"</formula>
    </cfRule>
  </conditionalFormatting>
  <dataValidations count="18">
    <dataValidation type="list" allowBlank="1" showInputMessage="1" showErrorMessage="1" sqref="G64" xr:uid="{AA5276F3-2ECC-4F83-9CB6-34C101D30837}">
      <formula1>$T$2:$T$2</formula1>
    </dataValidation>
    <dataValidation type="list" allowBlank="1" showInputMessage="1" showErrorMessage="1" sqref="B14" xr:uid="{9C0E1AFE-479A-4EDE-8774-07C3418FBD51}">
      <formula1>$N$1:$N$4</formula1>
    </dataValidation>
    <dataValidation type="list" allowBlank="1" showInputMessage="1" showErrorMessage="1" sqref="B68" xr:uid="{9D82263C-8DDA-489E-BC99-7277F61F016C}">
      <formula1>$N$4:$N$8</formula1>
    </dataValidation>
    <dataValidation type="list" allowBlank="1" showInputMessage="1" showErrorMessage="1" sqref="B12" xr:uid="{CC7F3232-CA09-439A-89C8-917A045A54B9}">
      <formula1>$S$1:$S$9</formula1>
    </dataValidation>
    <dataValidation type="list" allowBlank="1" showInputMessage="1" showErrorMessage="1" sqref="B65" xr:uid="{4D2D13BA-F5D0-473D-9EDB-F0AE26E64847}">
      <formula1>$S$1:$S$5</formula1>
    </dataValidation>
    <dataValidation type="list" allowBlank="1" showInputMessage="1" showErrorMessage="1" sqref="G10" xr:uid="{FFF582F1-FDA0-4539-8631-39333EF65CFF}">
      <formula1>$R$1:$R$2</formula1>
    </dataValidation>
    <dataValidation type="list" allowBlank="1" showInputMessage="1" showErrorMessage="1" sqref="G11 G63" xr:uid="{813928CE-8607-4624-B974-48E0C73C8B9C}">
      <formula1>$Q$2:$Q$3</formula1>
    </dataValidation>
    <dataValidation type="list" allowBlank="1" showInputMessage="1" showErrorMessage="1" sqref="G12" xr:uid="{21D2539E-F2C1-44BB-9533-AD89820345EE}">
      <formula1>$T$2:$T$3</formula1>
    </dataValidation>
    <dataValidation type="list" allowBlank="1" showInputMessage="1" showErrorMessage="1" sqref="B94:B96 B32 B92 C38:C41 B74 B21:B23" xr:uid="{781CAD10-174A-429F-9EDF-ABBDC5DB870D}">
      <formula1>$AB$1:$AB$2</formula1>
    </dataValidation>
    <dataValidation allowBlank="1" showInputMessage="1" showErrorMessage="1" errorTitle="Design Flow Temperature" error="The design flow temperature must be between 35oC and 55oC" sqref="B20" xr:uid="{BCAFB758-B665-4FDC-80FC-07EB1D1F5C72}"/>
    <dataValidation type="decimal" allowBlank="1" showInputMessage="1" showErrorMessage="1" errorTitle="Design Flow Temperature" error="The design flow temperature must be between 20oC and 65oC" sqref="B25" xr:uid="{C96F84D1-14E1-46E9-9230-D98C385811EA}">
      <formula1>20</formula1>
      <formula2>65</formula2>
    </dataValidation>
    <dataValidation type="list" allowBlank="1" showInputMessage="1" showErrorMessage="1" sqref="B67" xr:uid="{AE08129B-5EAD-48E9-BF35-F76CDBB2DA94}">
      <formula1>$P$2:$P$3</formula1>
    </dataValidation>
    <dataValidation type="list" allowBlank="1" showInputMessage="1" showErrorMessage="1" sqref="B13 B66" xr:uid="{56B9A6E9-DFFF-4129-8068-E27A6FC729AF}">
      <formula1>$Z$1:$Z$2</formula1>
    </dataValidation>
    <dataValidation type="list" allowBlank="1" showInputMessage="1" showErrorMessage="1" sqref="B33 B75" xr:uid="{E0307F0F-289F-465C-BA8C-F3C6DF9F26D2}">
      <formula1>$W$2:$W$12</formula1>
    </dataValidation>
    <dataValidation type="list" allowBlank="1" showInputMessage="1" showErrorMessage="1" sqref="B70" xr:uid="{F3AA564E-2ECC-427D-A3E4-D97358D10407}">
      <formula1>$AG$1:$AG$4</formula1>
    </dataValidation>
    <dataValidation type="list" allowBlank="1" showInputMessage="1" showErrorMessage="1" sqref="B29" xr:uid="{3759558E-B61E-4F0C-AF53-7E24B5912539}">
      <formula1>$AP$1:$AP$3</formula1>
    </dataValidation>
    <dataValidation type="list" allowBlank="1" showInputMessage="1" showErrorMessage="1" sqref="B87" xr:uid="{01C20FC5-D596-4DDE-898E-4420E58AF1A6}">
      <formula1>$AL$1:$AL$11</formula1>
    </dataValidation>
    <dataValidation type="list" allowBlank="1" showInputMessage="1" showErrorMessage="1" sqref="B81" xr:uid="{E7FE93E0-8804-4C90-80C4-38CB6AF09973}">
      <formula1>$AR$1:$AR$2</formula1>
    </dataValidation>
  </dataValidations>
  <pageMargins left="0.75" right="0.75" top="1" bottom="1" header="0.5" footer="0.5"/>
  <pageSetup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04437-FBA8-47E1-9930-E86923A91849}">
  <dimension ref="A1:FA235"/>
  <sheetViews>
    <sheetView zoomScale="70" zoomScaleNormal="70" workbookViewId="0"/>
  </sheetViews>
  <sheetFormatPr defaultColWidth="9.140625" defaultRowHeight="15.75"/>
  <cols>
    <col min="1" max="1" width="68.28515625" style="34" customWidth="1"/>
    <col min="2" max="2" width="46" style="34" customWidth="1"/>
    <col min="3" max="3" width="23.28515625" style="34" customWidth="1"/>
    <col min="4" max="4" width="18.7109375" style="37" customWidth="1"/>
    <col min="5" max="5" width="20.85546875" style="37" customWidth="1"/>
    <col min="6" max="6" width="15.7109375" style="37" customWidth="1"/>
    <col min="7" max="7" width="51.5703125" style="34" customWidth="1"/>
    <col min="8" max="8" width="27.28515625" style="35" customWidth="1"/>
    <col min="9" max="9" width="25.7109375" style="566" customWidth="1"/>
    <col min="10" max="10" width="27.85546875" style="38" customWidth="1"/>
    <col min="11" max="13" width="25.7109375" style="566" customWidth="1"/>
    <col min="14" max="14" width="29.140625" style="34" bestFit="1" customWidth="1"/>
    <col min="15" max="15" width="9.140625" style="34"/>
    <col min="16" max="16" width="42.28515625" style="34" bestFit="1" customWidth="1"/>
    <col min="17" max="17" width="20.28515625" style="34" bestFit="1" customWidth="1"/>
    <col min="18" max="18" width="38.28515625" style="34" customWidth="1"/>
    <col min="19" max="19" width="24.28515625" style="34" bestFit="1" customWidth="1"/>
    <col min="20" max="20" width="33" style="34" bestFit="1" customWidth="1"/>
    <col min="21" max="21" width="40.5703125" style="34" bestFit="1" customWidth="1"/>
    <col min="22" max="22" width="9.140625" style="34"/>
    <col min="23" max="23" width="35.5703125" style="34" customWidth="1"/>
    <col min="24" max="25" width="9.140625" style="34"/>
    <col min="26" max="26" width="17.140625" style="34" bestFit="1" customWidth="1"/>
    <col min="27" max="29" width="9.140625" style="34"/>
    <col min="30" max="30" width="26.7109375" style="34" bestFit="1" customWidth="1"/>
    <col min="31" max="31" width="16.85546875" style="34" customWidth="1"/>
    <col min="32" max="32" width="9.140625" style="34"/>
    <col min="33" max="33" width="44.5703125" style="34" bestFit="1" customWidth="1"/>
    <col min="34" max="38" width="9.140625" style="34"/>
    <col min="39" max="39" width="9.5703125" style="34" bestFit="1" customWidth="1"/>
    <col min="40" max="40" width="9.85546875" style="34" customWidth="1"/>
    <col min="41" max="41" width="9.140625" style="34"/>
    <col min="42" max="42" width="3.7109375" style="34" bestFit="1" customWidth="1"/>
    <col min="43" max="43" width="9.140625" style="34"/>
    <col min="44" max="44" width="41.28515625" style="34" bestFit="1" customWidth="1"/>
    <col min="45" max="16384" width="9.140625" style="34"/>
  </cols>
  <sheetData>
    <row r="1" spans="1:157" ht="24.75" customHeight="1" thickBot="1">
      <c r="A1" s="8" t="s">
        <v>53</v>
      </c>
      <c r="B1" s="8"/>
      <c r="C1" s="8"/>
      <c r="D1" s="125"/>
      <c r="E1" s="125"/>
      <c r="F1" s="292" t="s">
        <v>509</v>
      </c>
      <c r="G1" s="293">
        <v>3</v>
      </c>
      <c r="H1" s="125"/>
      <c r="I1" s="125"/>
      <c r="J1" s="48"/>
      <c r="K1" s="47"/>
      <c r="L1" s="48"/>
      <c r="M1" s="47"/>
      <c r="N1" s="152" t="s">
        <v>54</v>
      </c>
      <c r="O1" s="158" t="s">
        <v>37</v>
      </c>
      <c r="P1" s="160" t="s">
        <v>48</v>
      </c>
      <c r="Q1" s="180" t="s">
        <v>386</v>
      </c>
      <c r="R1" s="159" t="s">
        <v>387</v>
      </c>
      <c r="S1" s="158" t="s">
        <v>55</v>
      </c>
      <c r="T1" s="163" t="s">
        <v>389</v>
      </c>
      <c r="U1" s="166" t="s">
        <v>56</v>
      </c>
      <c r="V1" s="43"/>
      <c r="W1" s="169" t="s">
        <v>47</v>
      </c>
      <c r="X1" s="170"/>
      <c r="Y1" s="43"/>
      <c r="Z1" s="158" t="s">
        <v>57</v>
      </c>
      <c r="AA1" s="43"/>
      <c r="AB1" s="158" t="s">
        <v>37</v>
      </c>
      <c r="AC1" s="43"/>
      <c r="AD1" s="151" t="s">
        <v>418</v>
      </c>
      <c r="AE1" s="151" t="s">
        <v>438</v>
      </c>
      <c r="AF1" s="43"/>
      <c r="AG1" s="158" t="s">
        <v>58</v>
      </c>
      <c r="AH1" s="43"/>
      <c r="AI1" s="43"/>
      <c r="AJ1" s="43"/>
      <c r="AK1" s="43"/>
      <c r="AL1" s="176" t="s">
        <v>59</v>
      </c>
      <c r="AM1" s="179" t="s">
        <v>60</v>
      </c>
      <c r="AN1" s="170">
        <f>IF(OR(B14=N1,B14=N2),IF(D24="",0,1),0)</f>
        <v>0</v>
      </c>
      <c r="AO1" s="43"/>
      <c r="AP1" s="158">
        <v>8</v>
      </c>
      <c r="AQ1" s="43"/>
      <c r="AR1" s="158" t="s">
        <v>61</v>
      </c>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row>
    <row r="2" spans="1:157" ht="36.6" customHeight="1" thickBot="1">
      <c r="A2" s="131" t="s">
        <v>340</v>
      </c>
      <c r="B2" s="131" t="s">
        <v>341</v>
      </c>
      <c r="C2" s="131" t="s">
        <v>342</v>
      </c>
      <c r="D2" s="745" t="s">
        <v>343</v>
      </c>
      <c r="E2" s="745"/>
      <c r="F2" s="745"/>
      <c r="G2" s="745"/>
      <c r="H2" s="45"/>
      <c r="I2" s="132"/>
      <c r="J2" s="44"/>
      <c r="K2" s="41"/>
      <c r="L2" s="41"/>
      <c r="M2" s="41"/>
      <c r="N2" s="153" t="s">
        <v>393</v>
      </c>
      <c r="O2" s="157" t="s">
        <v>38</v>
      </c>
      <c r="P2" s="161" t="s">
        <v>348</v>
      </c>
      <c r="Q2" s="182" t="s">
        <v>44</v>
      </c>
      <c r="R2" s="193" t="s">
        <v>383</v>
      </c>
      <c r="S2" s="156" t="s">
        <v>63</v>
      </c>
      <c r="T2" s="164" t="s">
        <v>385</v>
      </c>
      <c r="U2" s="167" t="s">
        <v>64</v>
      </c>
      <c r="V2" s="43"/>
      <c r="W2" s="171" t="s">
        <v>44</v>
      </c>
      <c r="X2" s="302">
        <f>DEAPEntries!B11</f>
        <v>2.08</v>
      </c>
      <c r="Y2" s="43"/>
      <c r="Z2" s="157" t="s">
        <v>65</v>
      </c>
      <c r="AA2" s="43"/>
      <c r="AB2" s="157" t="s">
        <v>38</v>
      </c>
      <c r="AC2" s="43"/>
      <c r="AD2" s="156" t="s">
        <v>66</v>
      </c>
      <c r="AE2" s="195" t="str">
        <f>SUBSTITUTE(AD2," Temperature","")</f>
        <v>Low</v>
      </c>
      <c r="AF2" s="43"/>
      <c r="AG2" s="156" t="s">
        <v>67</v>
      </c>
      <c r="AH2" s="43"/>
      <c r="AI2" s="43"/>
      <c r="AJ2" s="43"/>
      <c r="AK2" s="43"/>
      <c r="AL2" s="177" t="s">
        <v>68</v>
      </c>
      <c r="AM2" s="173"/>
      <c r="AN2" s="172">
        <f>IF(OR(B14=N1,B14=N2),IF(D42="",0,1),0)</f>
        <v>0</v>
      </c>
      <c r="AO2" s="43"/>
      <c r="AP2" s="156">
        <v>16</v>
      </c>
      <c r="AQ2" s="43"/>
      <c r="AR2" s="157" t="s">
        <v>69</v>
      </c>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row>
    <row r="3" spans="1:157" ht="35.25" customHeight="1" thickBot="1">
      <c r="A3" s="406" t="s">
        <v>70</v>
      </c>
      <c r="B3" s="407">
        <f>DEAPEntries!B3</f>
        <v>0</v>
      </c>
      <c r="C3" s="458" t="s">
        <v>71</v>
      </c>
      <c r="D3" s="739" t="str">
        <f>DEAPEntries!F3</f>
        <v>Sourced from DEAP  "results" tab (or DEAP workbook Fab tab). This is the sum of heat losses from fabric + ventilation + windows</v>
      </c>
      <c r="E3" s="739"/>
      <c r="F3" s="739"/>
      <c r="G3" s="739"/>
      <c r="H3" s="45"/>
      <c r="I3" s="41"/>
      <c r="J3" s="44"/>
      <c r="K3" s="41"/>
      <c r="L3" s="41"/>
      <c r="M3" s="41"/>
      <c r="N3" s="153" t="s">
        <v>484</v>
      </c>
      <c r="O3" s="43"/>
      <c r="P3" s="162" t="s">
        <v>349</v>
      </c>
      <c r="Q3" s="181" t="s">
        <v>388</v>
      </c>
      <c r="R3" s="43"/>
      <c r="S3" s="156" t="s">
        <v>73</v>
      </c>
      <c r="T3" s="165" t="s">
        <v>391</v>
      </c>
      <c r="U3" s="167" t="s">
        <v>74</v>
      </c>
      <c r="V3" s="43"/>
      <c r="W3" s="171" t="s">
        <v>75</v>
      </c>
      <c r="X3" s="172">
        <v>1.1000000000000001</v>
      </c>
      <c r="Y3" s="43"/>
      <c r="Z3" s="43"/>
      <c r="AA3" s="43"/>
      <c r="AB3" s="43"/>
      <c r="AC3" s="43"/>
      <c r="AD3" s="156" t="s">
        <v>144</v>
      </c>
      <c r="AE3" s="195" t="str">
        <f t="shared" ref="AE3:AE5" si="0">SUBSTITUTE(AD3," Temperature","")</f>
        <v>Medium</v>
      </c>
      <c r="AF3" s="43"/>
      <c r="AG3" s="156" t="s">
        <v>77</v>
      </c>
      <c r="AH3" s="43"/>
      <c r="AI3" s="43"/>
      <c r="AJ3" s="43"/>
      <c r="AK3" s="43"/>
      <c r="AL3" s="177" t="s">
        <v>78</v>
      </c>
      <c r="AN3" s="172">
        <f ca="1">IF(ISNUMBER(SEARCH("ERROR",C9&amp;C62&amp;D14&amp;D68&amp;G18)),1,0)</f>
        <v>0</v>
      </c>
      <c r="AO3" s="43"/>
      <c r="AP3" s="157">
        <v>24</v>
      </c>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row>
    <row r="4" spans="1:157" ht="39" customHeight="1" thickBot="1">
      <c r="A4" s="408" t="s">
        <v>79</v>
      </c>
      <c r="B4" s="409" t="str">
        <f>IFERROR(IF(B5="No",(B3*B6*(B19-B18)),(B3*B6/B7)*B8*(B19-B18)),"Please complete DEAPEntries tab")</f>
        <v>Please complete DEAPEntries tab</v>
      </c>
      <c r="C4" s="458" t="s">
        <v>80</v>
      </c>
      <c r="D4" s="739" t="s">
        <v>517</v>
      </c>
      <c r="E4" s="739"/>
      <c r="F4" s="739"/>
      <c r="G4" s="739"/>
      <c r="H4" s="45"/>
      <c r="I4" s="41"/>
      <c r="J4" s="44"/>
      <c r="K4" s="41"/>
      <c r="L4" s="41"/>
      <c r="M4" s="41"/>
      <c r="N4" s="153" t="s">
        <v>486</v>
      </c>
      <c r="O4" s="43"/>
      <c r="P4" s="43"/>
      <c r="Q4" s="43"/>
      <c r="R4" s="43"/>
      <c r="S4" s="156" t="s">
        <v>82</v>
      </c>
      <c r="T4" s="43"/>
      <c r="U4" s="167" t="s">
        <v>83</v>
      </c>
      <c r="V4" s="43"/>
      <c r="W4" s="171" t="s">
        <v>84</v>
      </c>
      <c r="X4" s="172">
        <v>1.1000000000000001</v>
      </c>
      <c r="Y4" s="43"/>
      <c r="Z4" s="43"/>
      <c r="AA4" s="43"/>
      <c r="AB4" s="43"/>
      <c r="AC4" s="43"/>
      <c r="AD4" s="156" t="s">
        <v>76</v>
      </c>
      <c r="AE4" s="195" t="str">
        <f t="shared" si="0"/>
        <v>High</v>
      </c>
      <c r="AF4" s="43"/>
      <c r="AG4" s="157" t="s">
        <v>85</v>
      </c>
      <c r="AH4" s="43"/>
      <c r="AI4" s="43"/>
      <c r="AJ4" s="43"/>
      <c r="AK4" s="43"/>
      <c r="AL4" s="177" t="s">
        <v>86</v>
      </c>
      <c r="AM4" s="174"/>
      <c r="AN4" s="175">
        <f ca="1">SUM(AN1:AN3)</f>
        <v>0</v>
      </c>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row>
    <row r="5" spans="1:157" ht="45.6" customHeight="1" thickBot="1">
      <c r="A5" s="408" t="s">
        <v>520</v>
      </c>
      <c r="B5" s="410" t="str">
        <f>E194</f>
        <v>No</v>
      </c>
      <c r="C5" s="458"/>
      <c r="D5" s="739"/>
      <c r="E5" s="739"/>
      <c r="F5" s="739"/>
      <c r="G5" s="739"/>
      <c r="H5" s="45"/>
      <c r="I5" s="41"/>
      <c r="J5" s="44"/>
      <c r="K5" s="41"/>
      <c r="L5" s="41"/>
      <c r="M5" s="41"/>
      <c r="N5" s="153" t="s">
        <v>81</v>
      </c>
      <c r="O5" s="43"/>
      <c r="P5" s="43"/>
      <c r="Q5" s="43"/>
      <c r="R5" s="43"/>
      <c r="S5" s="156" t="s">
        <v>392</v>
      </c>
      <c r="T5" s="43"/>
      <c r="U5" s="168" t="s">
        <v>89</v>
      </c>
      <c r="V5" s="43"/>
      <c r="W5" s="171" t="s">
        <v>90</v>
      </c>
      <c r="X5" s="172">
        <v>1.1000000000000001</v>
      </c>
      <c r="Y5" s="43"/>
      <c r="Z5" s="43"/>
      <c r="AA5" s="43"/>
      <c r="AB5" s="43"/>
      <c r="AC5" s="43"/>
      <c r="AD5" s="157" t="s">
        <v>437</v>
      </c>
      <c r="AE5" s="196" t="str">
        <f t="shared" si="0"/>
        <v>Very high</v>
      </c>
      <c r="AF5" s="43"/>
      <c r="AG5" s="43"/>
      <c r="AH5" s="43"/>
      <c r="AI5" s="43"/>
      <c r="AJ5" s="43"/>
      <c r="AK5" s="43"/>
      <c r="AL5" s="177" t="s">
        <v>91</v>
      </c>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row>
    <row r="6" spans="1:157" ht="63.6" customHeight="1">
      <c r="A6" s="408" t="s">
        <v>518</v>
      </c>
      <c r="B6" s="411">
        <f>E191</f>
        <v>0</v>
      </c>
      <c r="C6" s="458" t="s">
        <v>92</v>
      </c>
      <c r="D6" s="740"/>
      <c r="E6" s="740"/>
      <c r="F6" s="740"/>
      <c r="G6" s="740"/>
      <c r="H6" s="45"/>
      <c r="I6" s="41"/>
      <c r="J6" s="44"/>
      <c r="K6" s="41"/>
      <c r="L6" s="41"/>
      <c r="M6" s="41"/>
      <c r="N6" s="153" t="s">
        <v>486</v>
      </c>
      <c r="O6" s="43"/>
      <c r="P6" s="43"/>
      <c r="Q6" s="43"/>
      <c r="S6" s="156" t="s">
        <v>88</v>
      </c>
      <c r="T6" s="43"/>
      <c r="U6" s="53" t="s">
        <v>1</v>
      </c>
      <c r="V6" s="43"/>
      <c r="W6" s="171" t="s">
        <v>51</v>
      </c>
      <c r="X6" s="172">
        <v>1.3</v>
      </c>
      <c r="Y6" s="43"/>
      <c r="Z6" s="43"/>
      <c r="AA6" s="43"/>
      <c r="AB6" s="43"/>
      <c r="AC6" s="43"/>
      <c r="AE6" s="43"/>
      <c r="AF6" s="43"/>
      <c r="AG6" s="43"/>
      <c r="AH6" s="43"/>
      <c r="AI6" s="43"/>
      <c r="AJ6" s="43"/>
      <c r="AK6" s="43"/>
      <c r="AL6" s="177" t="s">
        <v>94</v>
      </c>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row>
    <row r="7" spans="1:157" ht="30" customHeight="1">
      <c r="A7" s="408" t="s">
        <v>95</v>
      </c>
      <c r="B7" s="412">
        <f>DEAPEntries!B5</f>
        <v>0</v>
      </c>
      <c r="C7" s="458" t="s">
        <v>519</v>
      </c>
      <c r="D7" s="739" t="str">
        <f>DEAPEntries!F5</f>
        <v>Sourced from DEAP: Building: Floors tab (or Dim tab in DEAP workbook)</v>
      </c>
      <c r="E7" s="739">
        <f>DEAPEntries!G5</f>
        <v>0</v>
      </c>
      <c r="F7" s="739">
        <f>DEAPEntries!H5</f>
        <v>0</v>
      </c>
      <c r="G7" s="739">
        <f>DEAPEntries!I5</f>
        <v>0</v>
      </c>
      <c r="H7" s="45"/>
      <c r="I7" s="41"/>
      <c r="J7" s="44"/>
      <c r="K7" s="41"/>
      <c r="L7" s="41"/>
      <c r="M7" s="41"/>
      <c r="N7" s="153" t="s">
        <v>394</v>
      </c>
      <c r="O7" s="43"/>
      <c r="P7" s="43"/>
      <c r="Q7" s="43"/>
      <c r="S7" s="156" t="s">
        <v>93</v>
      </c>
      <c r="T7" s="43"/>
      <c r="U7" s="53"/>
      <c r="V7" s="43"/>
      <c r="W7" s="171" t="s">
        <v>52</v>
      </c>
      <c r="X7" s="172">
        <v>1.34</v>
      </c>
      <c r="Y7" s="43"/>
      <c r="Z7" s="43"/>
      <c r="AA7" s="43"/>
      <c r="AB7" s="43"/>
      <c r="AC7" s="43"/>
      <c r="AE7" s="43"/>
      <c r="AF7" s="43"/>
      <c r="AG7" s="43"/>
      <c r="AH7" s="43"/>
      <c r="AI7" s="43"/>
      <c r="AJ7" s="43"/>
      <c r="AK7" s="43"/>
      <c r="AL7" s="177" t="s">
        <v>97</v>
      </c>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row>
    <row r="8" spans="1:157" ht="30" customHeight="1" thickBot="1">
      <c r="A8" s="413" t="s">
        <v>98</v>
      </c>
      <c r="B8" s="414"/>
      <c r="C8" s="458" t="s">
        <v>519</v>
      </c>
      <c r="D8" s="739" t="s">
        <v>368</v>
      </c>
      <c r="E8" s="739" t="e">
        <f>DEAPEntries!#REF!</f>
        <v>#REF!</v>
      </c>
      <c r="F8" s="739" t="e">
        <f>DEAPEntries!#REF!</f>
        <v>#REF!</v>
      </c>
      <c r="G8" s="739" t="e">
        <f>DEAPEntries!#REF!</f>
        <v>#REF!</v>
      </c>
      <c r="H8" s="45"/>
      <c r="I8" s="41"/>
      <c r="J8" s="44"/>
      <c r="K8" s="41"/>
      <c r="L8" s="41"/>
      <c r="M8" s="41"/>
      <c r="N8" s="154" t="s">
        <v>485</v>
      </c>
      <c r="O8" s="43"/>
      <c r="P8" s="43"/>
      <c r="Q8" s="43"/>
      <c r="S8" s="156" t="s">
        <v>96</v>
      </c>
      <c r="T8" s="43"/>
      <c r="U8" s="53"/>
      <c r="V8" s="43"/>
      <c r="W8" s="171" t="s">
        <v>99</v>
      </c>
      <c r="X8" s="172">
        <v>1.1000000000000001</v>
      </c>
      <c r="Y8" s="43"/>
      <c r="Z8" s="43"/>
      <c r="AA8" s="43"/>
      <c r="AB8" s="43"/>
      <c r="AC8" s="43"/>
      <c r="AD8" s="43"/>
      <c r="AE8" s="43"/>
      <c r="AF8" s="43"/>
      <c r="AG8" s="43"/>
      <c r="AH8" s="43"/>
      <c r="AI8" s="43"/>
      <c r="AJ8" s="43"/>
      <c r="AK8" s="43"/>
      <c r="AL8" s="177" t="s">
        <v>100</v>
      </c>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row>
    <row r="9" spans="1:157" ht="30" customHeight="1" thickBot="1">
      <c r="A9" s="415" t="str">
        <f>IF(N10=FALSE,"No heat Pump for Space Heating - PROCEED TO WATER HEATING","Heat Pump for Space Heating")</f>
        <v>No heat Pump for Space Heating - PROCEED TO WATER HEATING</v>
      </c>
      <c r="B9" s="415"/>
      <c r="C9" s="736" t="str">
        <f>IF(N10,E224,".")</f>
        <v>.</v>
      </c>
      <c r="D9" s="737"/>
      <c r="E9" s="737"/>
      <c r="F9" s="737"/>
      <c r="G9" s="771"/>
      <c r="H9" s="737"/>
      <c r="I9" s="738"/>
      <c r="J9" s="44"/>
      <c r="K9" s="41"/>
      <c r="L9" s="41"/>
      <c r="M9" s="41"/>
      <c r="N9" s="43" t="s">
        <v>344</v>
      </c>
      <c r="O9" s="43"/>
      <c r="P9" s="43"/>
      <c r="Q9" s="43"/>
      <c r="R9" s="43"/>
      <c r="S9" s="157" t="s">
        <v>480</v>
      </c>
      <c r="T9" s="43"/>
      <c r="U9" s="43"/>
      <c r="V9" s="43"/>
      <c r="W9" s="173" t="s">
        <v>424</v>
      </c>
      <c r="X9" s="172">
        <v>1.2</v>
      </c>
      <c r="Y9" s="43"/>
      <c r="Z9" s="43"/>
      <c r="AA9" s="43"/>
      <c r="AB9" s="43"/>
      <c r="AC9" s="43"/>
      <c r="AD9" s="43"/>
      <c r="AE9" s="43"/>
      <c r="AF9" s="43"/>
      <c r="AG9" s="43"/>
      <c r="AH9" s="43"/>
      <c r="AI9" s="43"/>
      <c r="AJ9" s="43"/>
      <c r="AK9" s="43"/>
      <c r="AL9" s="177" t="s">
        <v>101</v>
      </c>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row>
    <row r="10" spans="1:157" ht="30" customHeight="1" thickBot="1">
      <c r="A10" s="406" t="s">
        <v>102</v>
      </c>
      <c r="B10" s="416"/>
      <c r="D10" s="753" t="s">
        <v>382</v>
      </c>
      <c r="E10" s="753"/>
      <c r="F10" s="753"/>
      <c r="G10" s="149" t="s">
        <v>383</v>
      </c>
      <c r="H10" s="45"/>
      <c r="I10" s="41"/>
      <c r="J10" s="44"/>
      <c r="K10" s="41"/>
      <c r="L10" s="41"/>
      <c r="M10" s="41"/>
      <c r="N10" s="139" t="b">
        <f>M189</f>
        <v>0</v>
      </c>
      <c r="O10" s="43" t="s">
        <v>345</v>
      </c>
      <c r="P10" s="43"/>
      <c r="Q10" s="43"/>
      <c r="R10" s="43"/>
      <c r="S10" s="43"/>
      <c r="T10" s="43"/>
      <c r="U10" s="43"/>
      <c r="V10" s="43"/>
      <c r="W10" s="173" t="s">
        <v>103</v>
      </c>
      <c r="X10" s="172">
        <v>1.1000000000000001</v>
      </c>
      <c r="Y10" s="43"/>
      <c r="Z10" s="43"/>
      <c r="AA10" s="43"/>
      <c r="AB10" s="43"/>
      <c r="AC10" s="43"/>
      <c r="AD10" s="43"/>
      <c r="AE10" s="43"/>
      <c r="AF10" s="43"/>
      <c r="AG10" s="43"/>
      <c r="AH10" s="43"/>
      <c r="AI10" s="43"/>
      <c r="AJ10" s="43"/>
      <c r="AK10" s="43"/>
      <c r="AL10" s="178" t="s">
        <v>104</v>
      </c>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row>
    <row r="11" spans="1:157" ht="30" customHeight="1">
      <c r="A11" s="408" t="s">
        <v>105</v>
      </c>
      <c r="B11" s="417"/>
      <c r="D11" s="754" t="s">
        <v>384</v>
      </c>
      <c r="E11" s="754"/>
      <c r="F11" s="754"/>
      <c r="G11" s="149" t="s">
        <v>44</v>
      </c>
      <c r="H11" s="45"/>
      <c r="I11" s="41"/>
      <c r="J11" s="44"/>
      <c r="K11" s="41"/>
      <c r="L11" s="41"/>
      <c r="M11" s="41"/>
      <c r="N11" s="139" t="b">
        <f>M190</f>
        <v>0</v>
      </c>
      <c r="O11" s="43" t="s">
        <v>346</v>
      </c>
      <c r="P11" s="43"/>
      <c r="Q11" s="43"/>
      <c r="R11" s="43"/>
      <c r="S11" s="43"/>
      <c r="T11" s="43"/>
      <c r="U11" s="43"/>
      <c r="V11" s="43"/>
      <c r="W11" s="173" t="s">
        <v>106</v>
      </c>
      <c r="X11" s="172">
        <v>1.1000000000000001</v>
      </c>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row>
    <row r="12" spans="1:157" ht="126.6" customHeight="1" thickBot="1">
      <c r="A12" s="408" t="s">
        <v>107</v>
      </c>
      <c r="B12" s="417" t="s">
        <v>55</v>
      </c>
      <c r="C12" s="134" t="str">
        <f>IF(E189="Exhaust Air Heat Pump",
IF(LEFT(B12,7)&lt;&gt;"Exhaust","Warning: Type of heat pump selected here and in DEAPEntries tab do not match. 
Check entries",""),
IF(LEFT(B12,7)="Exhaust","Warning: Type of heat pump selected here and in DEAPEntries tab do not match. 
Check entries",""))</f>
        <v/>
      </c>
      <c r="D12" s="754" t="s">
        <v>390</v>
      </c>
      <c r="E12" s="754"/>
      <c r="F12" s="754"/>
      <c r="G12" s="150" t="s">
        <v>385</v>
      </c>
      <c r="H12" s="45"/>
      <c r="I12" s="41"/>
      <c r="J12" s="44"/>
      <c r="K12" s="41"/>
      <c r="L12" s="41"/>
      <c r="M12" s="41"/>
      <c r="N12" s="139" t="b">
        <f>IF(AND(N10=TRUE,N11=TRUE,$B$14&lt;&gt;$N$3),IF(B67="Same Heat Pump providing Space Heating and Domestic Hot Water",TRUE,FALSE),FALSE)</f>
        <v>0</v>
      </c>
      <c r="O12" s="43" t="s">
        <v>350</v>
      </c>
      <c r="P12" s="43"/>
      <c r="Q12" s="43"/>
      <c r="R12" s="43"/>
      <c r="S12" s="43"/>
      <c r="T12" s="43"/>
      <c r="U12" s="43"/>
      <c r="V12" s="43"/>
      <c r="W12" s="174" t="s">
        <v>108</v>
      </c>
      <c r="X12" s="175">
        <v>1.1000000000000001</v>
      </c>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row>
    <row r="13" spans="1:157" ht="78.599999999999994" customHeight="1">
      <c r="A13" s="408" t="s">
        <v>109</v>
      </c>
      <c r="B13" s="417" t="s">
        <v>57</v>
      </c>
      <c r="D13" s="750" t="s">
        <v>110</v>
      </c>
      <c r="E13" s="750"/>
      <c r="F13" s="750"/>
      <c r="G13" s="256" t="s">
        <v>477</v>
      </c>
      <c r="H13" s="45"/>
      <c r="I13" s="41"/>
      <c r="J13" s="44"/>
      <c r="K13" s="41"/>
      <c r="L13" s="41"/>
      <c r="M13" s="41"/>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row>
    <row r="14" spans="1:157" ht="121.9" customHeight="1">
      <c r="A14" s="408" t="s">
        <v>111</v>
      </c>
      <c r="B14" s="418" t="s">
        <v>54</v>
      </c>
      <c r="C14" s="458"/>
      <c r="D14" s="746" t="str">
        <f ca="1">IFERROR(IF(OR(N10&lt;&gt;TRUE,ISNUMBER(SEARCH($B14,E229))),
".",
"ERROR:Check the option selected for space heating standard. Valid option(s) for this heat pump type as follows: "&amp;CHAR(10)&amp;E229),".")</f>
        <v>.</v>
      </c>
      <c r="E14" s="746"/>
      <c r="F14" s="746"/>
      <c r="G14" s="256" t="str">
        <f ca="1">A225&amp;E225</f>
        <v>Heat pump type:Air to Water</v>
      </c>
      <c r="H14" s="45"/>
      <c r="I14" s="41"/>
      <c r="J14" s="44"/>
      <c r="K14" s="41"/>
      <c r="L14" s="41"/>
      <c r="M14" s="41"/>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row>
    <row r="15" spans="1:157" ht="30" customHeight="1">
      <c r="A15" s="419" t="s">
        <v>112</v>
      </c>
      <c r="B15" s="418"/>
      <c r="C15" s="459" t="s">
        <v>113</v>
      </c>
      <c r="D15" s="750" t="s">
        <v>114</v>
      </c>
      <c r="E15" s="750"/>
      <c r="F15" s="750"/>
      <c r="G15" s="256" t="str">
        <f ca="1">A226&amp;E226</f>
        <v>Electric or GAHP:Electricity</v>
      </c>
      <c r="H15" s="45"/>
      <c r="I15" s="41"/>
      <c r="J15" s="44"/>
      <c r="K15" s="41"/>
      <c r="L15" s="41"/>
      <c r="M15" s="41"/>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row>
    <row r="16" spans="1:157" ht="30" customHeight="1">
      <c r="A16" s="419" t="s">
        <v>115</v>
      </c>
      <c r="B16" s="418"/>
      <c r="C16" s="459" t="s">
        <v>113</v>
      </c>
      <c r="D16" s="750" t="s">
        <v>114</v>
      </c>
      <c r="E16" s="750"/>
      <c r="F16" s="750"/>
      <c r="G16" s="256" t="str">
        <f ca="1">A227&amp;E227</f>
        <v>Low temp:Not low temperature heat pump</v>
      </c>
      <c r="H16" s="45"/>
      <c r="I16" s="41"/>
      <c r="J16" s="44"/>
      <c r="K16" s="41"/>
      <c r="L16" s="41"/>
      <c r="M16" s="41"/>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row>
    <row r="17" spans="1:157" ht="49.9" customHeight="1" thickBot="1">
      <c r="A17" s="420" t="s">
        <v>116</v>
      </c>
      <c r="B17" s="421">
        <f>IF(B5="Yes",B6*(1-DEAPEntries!B8)*(1-DEAPEntries!B7)*DEAPEntries!B4/DEAPEntries!I10,
                       B6*(1-DEAPEntries!B8)*(1-DEAPEntries!B7)*DEAPEntries!B4)</f>
        <v>0</v>
      </c>
      <c r="C17" s="458" t="s">
        <v>43</v>
      </c>
      <c r="D17" s="756"/>
      <c r="E17" s="756"/>
      <c r="F17" s="756"/>
      <c r="G17" s="256" t="str">
        <f ca="1">A228&amp;E228</f>
        <v>Ecodesign based stds:Ecodesign applies and/or ecodesign data available</v>
      </c>
      <c r="H17" s="218"/>
      <c r="I17" s="61"/>
      <c r="J17" s="44"/>
      <c r="K17" s="41"/>
      <c r="L17" s="41"/>
      <c r="M17" s="41"/>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row>
    <row r="18" spans="1:157" ht="42" customHeight="1" thickBot="1">
      <c r="A18" s="422" t="s">
        <v>117</v>
      </c>
      <c r="B18" s="423">
        <v>-3</v>
      </c>
      <c r="C18" s="459" t="s">
        <v>113</v>
      </c>
      <c r="D18" s="741" t="s">
        <v>118</v>
      </c>
      <c r="E18" s="741"/>
      <c r="F18" s="741"/>
      <c r="G18" s="259" t="str">
        <f>IF(AND(B16&gt;=52,G10=R1),"ERROR: WTOL can't be &gt;=52degC for low temperature heat pumps",IF(AND(B16&gt;45,G10=R1),"Warning: low temperature heat pump test data will only be available up to 45degC",""))</f>
        <v/>
      </c>
      <c r="H18" s="56"/>
      <c r="I18" s="57"/>
      <c r="J18" s="44"/>
      <c r="K18" s="41"/>
      <c r="L18" s="41"/>
      <c r="M18" s="41"/>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row>
    <row r="19" spans="1:157" ht="30" customHeight="1" thickBot="1">
      <c r="A19" s="424" t="s">
        <v>119</v>
      </c>
      <c r="B19" s="425" t="str">
        <f>IFERROR(21*DEAPEntries!B6/DEAPEntries!B5+(1-DEAPEntries!B6/DEAPEntries!B5)*18,"Please complete DEAP Entries tab")</f>
        <v>Please complete DEAP Entries tab</v>
      </c>
      <c r="C19" s="459" t="s">
        <v>113</v>
      </c>
      <c r="D19" s="741" t="s">
        <v>120</v>
      </c>
      <c r="E19" s="741"/>
      <c r="F19" s="741"/>
      <c r="G19" s="215"/>
      <c r="H19" s="56"/>
      <c r="I19" s="57"/>
      <c r="J19" s="44"/>
      <c r="K19" s="41"/>
      <c r="L19" s="41"/>
      <c r="M19" s="41"/>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row>
    <row r="20" spans="1:157" ht="30" customHeight="1">
      <c r="A20" s="405" t="s">
        <v>419</v>
      </c>
      <c r="B20" s="191" t="s">
        <v>121</v>
      </c>
      <c r="C20" s="458"/>
      <c r="D20" s="34"/>
      <c r="E20" s="34"/>
      <c r="F20" s="34"/>
      <c r="H20" s="56"/>
      <c r="I20" s="57"/>
      <c r="J20" s="44"/>
      <c r="K20" s="41"/>
      <c r="L20" s="41"/>
      <c r="M20" s="41"/>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row>
    <row r="21" spans="1:157" ht="30" customHeight="1">
      <c r="A21" s="93" t="s">
        <v>122</v>
      </c>
      <c r="B21" s="216" t="s">
        <v>37</v>
      </c>
      <c r="H21" s="56"/>
      <c r="I21" s="57"/>
      <c r="J21" s="44"/>
      <c r="K21" s="41"/>
      <c r="L21" s="41"/>
      <c r="M21" s="41"/>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row>
    <row r="22" spans="1:157" ht="30" customHeight="1">
      <c r="A22" s="93" t="s">
        <v>123</v>
      </c>
      <c r="B22" s="216" t="s">
        <v>38</v>
      </c>
      <c r="D22" s="733" t="s">
        <v>124</v>
      </c>
      <c r="E22" s="733"/>
      <c r="F22" s="733"/>
      <c r="H22" s="56"/>
      <c r="I22" s="57"/>
      <c r="J22" s="44"/>
      <c r="K22" s="41"/>
      <c r="L22" s="41"/>
      <c r="M22" s="41"/>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c r="CS22" s="43"/>
      <c r="CT22" s="43"/>
      <c r="CU22" s="43"/>
      <c r="CV22" s="43"/>
      <c r="CW22" s="43"/>
      <c r="CX22" s="43"/>
      <c r="CY22" s="43"/>
      <c r="CZ22" s="43"/>
      <c r="DA22" s="43"/>
      <c r="DB22" s="43"/>
      <c r="DC22" s="43"/>
      <c r="DD22" s="43"/>
      <c r="DE22" s="43"/>
      <c r="DF22" s="43"/>
      <c r="DG22" s="43"/>
      <c r="DH22" s="43"/>
      <c r="DI22" s="43"/>
      <c r="DJ22" s="43"/>
      <c r="DK22" s="43"/>
      <c r="DL22" s="43"/>
      <c r="DM22" s="43"/>
      <c r="DN22" s="43"/>
      <c r="DO22" s="43"/>
      <c r="DP22" s="43"/>
      <c r="DQ22" s="43"/>
      <c r="DR22" s="43"/>
      <c r="DS22" s="43"/>
      <c r="DT22" s="43"/>
      <c r="DU22" s="43"/>
      <c r="DV22" s="43"/>
      <c r="DW22" s="43"/>
      <c r="DX22" s="43"/>
      <c r="DY22" s="43"/>
      <c r="DZ22" s="43"/>
      <c r="EA22" s="43"/>
      <c r="EB22" s="43"/>
      <c r="EC22" s="43"/>
      <c r="ED22" s="43"/>
      <c r="EE22" s="43"/>
      <c r="EF22" s="43"/>
      <c r="EG22" s="43"/>
      <c r="EH22" s="43"/>
      <c r="EI22" s="43"/>
      <c r="EJ22" s="43"/>
      <c r="EK22" s="43"/>
      <c r="EL22" s="43"/>
      <c r="EM22" s="43"/>
      <c r="EN22" s="43"/>
      <c r="EO22" s="43"/>
      <c r="EP22" s="43"/>
      <c r="EQ22" s="43"/>
      <c r="ER22" s="43"/>
      <c r="ES22" s="43"/>
      <c r="ET22" s="43"/>
      <c r="EU22" s="43"/>
      <c r="EV22" s="43"/>
      <c r="EW22" s="43"/>
      <c r="EX22" s="43"/>
      <c r="EY22" s="43"/>
      <c r="EZ22" s="43"/>
      <c r="FA22" s="43"/>
    </row>
    <row r="23" spans="1:157" ht="33" customHeight="1" thickBot="1">
      <c r="A23" s="94" t="s">
        <v>125</v>
      </c>
      <c r="B23" s="217" t="s">
        <v>38</v>
      </c>
      <c r="D23" s="63">
        <f>IF(B24="Yes",35,IF(B21="Yes",55,IF(B22="Yes",45,35)))</f>
        <v>55</v>
      </c>
      <c r="E23" s="54" t="s">
        <v>113</v>
      </c>
      <c r="F23" s="565" t="s">
        <v>126</v>
      </c>
      <c r="H23" s="56"/>
      <c r="I23" s="57"/>
      <c r="J23" s="45"/>
      <c r="K23" s="41"/>
      <c r="L23" s="41"/>
      <c r="M23" s="41"/>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row>
    <row r="24" spans="1:157" ht="30" customHeight="1">
      <c r="A24" s="426" t="s">
        <v>127</v>
      </c>
      <c r="B24" s="427" t="str">
        <f>IF(RIGHT(B12,6)="to Air","Yes","No")</f>
        <v>No</v>
      </c>
      <c r="D24" s="742" t="str">
        <f>IF(AND(B24="No",B25&gt;B16,OR(B14=N1,B14=N2)),
"ERROR: Design Flow Temperature is greater than Heat Pumps Operating Limit, please correct",
"")</f>
        <v/>
      </c>
      <c r="E24" s="743"/>
      <c r="F24" s="744"/>
      <c r="H24" s="56"/>
      <c r="I24" s="57"/>
      <c r="J24" s="44"/>
      <c r="K24" s="41"/>
      <c r="L24" s="41"/>
      <c r="M24" s="41"/>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row>
    <row r="25" spans="1:157" ht="69.599999999999994" customHeight="1">
      <c r="A25" s="428" t="s">
        <v>128</v>
      </c>
      <c r="B25" s="429"/>
      <c r="C25" s="54" t="s">
        <v>113</v>
      </c>
      <c r="D25" s="742" t="str">
        <f>(IF(B25&lt;D23,"WARNING: As design flow temperature is less than default, please ensure that documentary evidence is available to support it",""))</f>
        <v>WARNING: As design flow temperature is less than default, please ensure that documentary evidence is available to support it</v>
      </c>
      <c r="E25" s="743"/>
      <c r="F25" s="744"/>
      <c r="H25" s="56"/>
      <c r="I25" s="57"/>
      <c r="J25" s="44"/>
      <c r="K25" s="41"/>
      <c r="L25" s="41"/>
      <c r="M25" s="41"/>
      <c r="N25" s="43"/>
      <c r="O25" s="43" t="s">
        <v>129</v>
      </c>
      <c r="P25" s="43"/>
      <c r="Q25" s="43"/>
      <c r="R25" s="43"/>
      <c r="S25" s="43"/>
      <c r="T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43"/>
      <c r="DP25" s="43"/>
      <c r="DQ25" s="43"/>
      <c r="DR25" s="43"/>
      <c r="DS25" s="43"/>
      <c r="DT25" s="43"/>
      <c r="DU25" s="43"/>
      <c r="DV25" s="43"/>
      <c r="DW25" s="43"/>
      <c r="DX25" s="43"/>
      <c r="DY25" s="43"/>
      <c r="DZ25" s="43"/>
      <c r="EA25" s="43"/>
      <c r="EB25" s="43"/>
      <c r="EC25" s="43"/>
      <c r="ED25" s="43"/>
      <c r="EE25" s="43"/>
      <c r="EF25" s="43"/>
      <c r="EG25" s="43"/>
      <c r="EH25" s="43"/>
      <c r="EI25" s="43"/>
      <c r="EJ25" s="43"/>
      <c r="EK25" s="43"/>
      <c r="EL25" s="43"/>
      <c r="EM25" s="43"/>
      <c r="EN25" s="43"/>
      <c r="EO25" s="43"/>
      <c r="EP25" s="43"/>
      <c r="EQ25" s="43"/>
      <c r="ER25" s="43"/>
      <c r="ES25" s="43"/>
      <c r="ET25" s="43"/>
      <c r="EU25" s="43"/>
      <c r="EV25" s="43"/>
      <c r="EW25" s="43"/>
      <c r="EX25" s="43"/>
      <c r="EY25" s="43"/>
      <c r="EZ25" s="43"/>
      <c r="FA25" s="43"/>
    </row>
    <row r="26" spans="1:157" s="53" customFormat="1" ht="30" customHeight="1">
      <c r="A26" s="422" t="s">
        <v>130</v>
      </c>
      <c r="B26" s="430">
        <f>IF(B24="Yes",1,1.2)</f>
        <v>1.2</v>
      </c>
      <c r="D26" s="755" t="s">
        <v>131</v>
      </c>
      <c r="E26" s="755"/>
      <c r="F26" s="755"/>
      <c r="H26" s="56"/>
      <c r="I26" s="57"/>
      <c r="J26" s="44"/>
      <c r="K26" s="41"/>
      <c r="L26" s="41"/>
      <c r="M26" s="41"/>
      <c r="N26" s="34"/>
      <c r="O26" s="34"/>
      <c r="P26" s="34"/>
      <c r="Q26" s="34"/>
      <c r="R26" s="34"/>
      <c r="S26" s="34"/>
      <c r="T26" s="34"/>
      <c r="X26" s="34"/>
      <c r="Y26" s="34"/>
      <c r="Z26" s="34"/>
      <c r="AA26" s="34"/>
      <c r="AB26" s="34"/>
      <c r="AC26" s="34"/>
      <c r="AD26" s="34"/>
      <c r="AE26" s="34"/>
      <c r="AF26" s="34"/>
      <c r="AG26" s="34"/>
      <c r="AH26" s="34"/>
      <c r="AI26" s="34"/>
      <c r="AJ26" s="34"/>
      <c r="AK26" s="34"/>
      <c r="AL26" s="34"/>
      <c r="AM26" s="34"/>
      <c r="AN26" s="34"/>
      <c r="AO26" s="34"/>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row>
    <row r="27" spans="1:157" ht="30" customHeight="1">
      <c r="A27" s="422" t="s">
        <v>132</v>
      </c>
      <c r="B27" s="430">
        <f>IF(B24="Yes",5,IF(B21="Yes",10,IF(B22="Yes",7.5,5)))</f>
        <v>10</v>
      </c>
      <c r="C27" s="54" t="s">
        <v>113</v>
      </c>
      <c r="D27" s="739" t="s">
        <v>131</v>
      </c>
      <c r="E27" s="739"/>
      <c r="F27" s="739"/>
      <c r="G27" s="53"/>
      <c r="H27" s="56"/>
      <c r="I27" s="57"/>
      <c r="J27" s="58"/>
      <c r="K27" s="57"/>
      <c r="L27" s="57"/>
      <c r="M27" s="57"/>
      <c r="N27" s="53"/>
      <c r="O27" s="53"/>
      <c r="P27" s="53"/>
      <c r="Q27" s="53"/>
      <c r="R27" s="53"/>
      <c r="S27" s="53"/>
      <c r="T27" s="53"/>
      <c r="X27" s="53"/>
      <c r="Y27" s="53"/>
      <c r="Z27" s="53"/>
      <c r="AA27" s="53"/>
      <c r="AB27" s="53"/>
      <c r="AC27" s="53"/>
      <c r="AD27" s="53"/>
      <c r="AE27" s="53"/>
      <c r="AF27" s="53"/>
      <c r="AG27" s="53"/>
      <c r="AH27" s="53"/>
      <c r="AI27" s="53"/>
      <c r="AJ27" s="53"/>
      <c r="AK27" s="53"/>
      <c r="AL27" s="53"/>
      <c r="AM27" s="53"/>
      <c r="AN27" s="53"/>
      <c r="AO27" s="53"/>
    </row>
    <row r="28" spans="1:157" s="53" customFormat="1" ht="30" customHeight="1">
      <c r="A28" s="422" t="s">
        <v>133</v>
      </c>
      <c r="B28" s="430">
        <f>B25-B27</f>
        <v>-10</v>
      </c>
      <c r="D28" s="35"/>
      <c r="E28" s="35"/>
      <c r="F28" s="35"/>
      <c r="H28" s="56"/>
      <c r="I28" s="57"/>
      <c r="J28" s="58"/>
      <c r="K28" s="57"/>
      <c r="L28" s="57"/>
      <c r="M28" s="57"/>
      <c r="U28" s="34"/>
      <c r="V28" s="34"/>
      <c r="W28" s="34"/>
    </row>
    <row r="29" spans="1:157" s="53" customFormat="1" ht="30" customHeight="1">
      <c r="A29" s="420" t="s">
        <v>134</v>
      </c>
      <c r="B29" s="429">
        <v>8</v>
      </c>
      <c r="C29" s="34" t="s">
        <v>39</v>
      </c>
      <c r="D29" s="733" t="s">
        <v>135</v>
      </c>
      <c r="E29" s="733"/>
      <c r="F29" s="733"/>
      <c r="G29" s="34"/>
      <c r="H29" s="56"/>
      <c r="I29" s="57"/>
      <c r="J29" s="58"/>
      <c r="K29" s="57"/>
      <c r="L29" s="57"/>
      <c r="M29" s="57"/>
      <c r="U29" s="34"/>
      <c r="V29" s="34"/>
      <c r="W29" s="34"/>
    </row>
    <row r="30" spans="1:157" s="53" customFormat="1" ht="30" customHeight="1">
      <c r="A30" s="422" t="s">
        <v>136</v>
      </c>
      <c r="B30" s="430">
        <f>24-B29</f>
        <v>16</v>
      </c>
      <c r="C30" s="53" t="s">
        <v>1</v>
      </c>
      <c r="D30" s="35"/>
      <c r="E30" s="35"/>
      <c r="F30" s="35"/>
      <c r="H30" s="56"/>
      <c r="I30" s="57"/>
      <c r="J30" s="58"/>
      <c r="K30" s="57"/>
      <c r="L30" s="57"/>
      <c r="M30" s="57"/>
      <c r="U30" s="34"/>
      <c r="V30" s="34"/>
      <c r="W30" s="34"/>
    </row>
    <row r="31" spans="1:157" s="53" customFormat="1" ht="30" customHeight="1">
      <c r="A31" s="422" t="s">
        <v>422</v>
      </c>
      <c r="B31" s="431">
        <f>IF(G11=$Q$2,$X$2,$X$3)</f>
        <v>2.08</v>
      </c>
      <c r="D31" s="741" t="s">
        <v>423</v>
      </c>
      <c r="E31" s="741"/>
      <c r="F31" s="741"/>
      <c r="H31" s="56"/>
      <c r="I31" s="57"/>
      <c r="J31" s="58"/>
      <c r="K31" s="57"/>
      <c r="L31" s="57"/>
      <c r="M31" s="57"/>
      <c r="U31" s="34"/>
      <c r="V31" s="34"/>
      <c r="W31" s="34"/>
    </row>
    <row r="32" spans="1:157" s="53" customFormat="1" ht="30" customHeight="1">
      <c r="A32" s="422" t="s">
        <v>138</v>
      </c>
      <c r="B32" s="432" t="s">
        <v>38</v>
      </c>
      <c r="C32" s="34"/>
      <c r="D32" s="733" t="s">
        <v>139</v>
      </c>
      <c r="E32" s="733"/>
      <c r="F32" s="733"/>
      <c r="G32" s="34"/>
      <c r="H32" s="56"/>
      <c r="I32" s="57"/>
      <c r="J32" s="58"/>
      <c r="K32" s="57"/>
      <c r="L32" s="57"/>
      <c r="M32" s="57"/>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row>
    <row r="33" spans="1:41" ht="30" customHeight="1">
      <c r="A33" s="420" t="s">
        <v>140</v>
      </c>
      <c r="B33" s="429" t="s">
        <v>44</v>
      </c>
      <c r="D33" s="733" t="s">
        <v>139</v>
      </c>
      <c r="E33" s="733"/>
      <c r="F33" s="733"/>
      <c r="H33" s="56"/>
      <c r="I33" s="57"/>
      <c r="J33" s="58"/>
      <c r="K33" s="57"/>
      <c r="L33" s="57"/>
      <c r="M33" s="57"/>
    </row>
    <row r="34" spans="1:41" ht="47.25" customHeight="1">
      <c r="A34" s="420" t="s">
        <v>141</v>
      </c>
      <c r="B34" s="433">
        <f>VLOOKUP(B33,W2:X12,2,)</f>
        <v>2.08</v>
      </c>
      <c r="H34" s="56"/>
      <c r="I34" s="57"/>
      <c r="J34" s="58"/>
      <c r="K34" s="41"/>
      <c r="L34" s="41"/>
      <c r="M34" s="41"/>
    </row>
    <row r="35" spans="1:41" ht="30" customHeight="1">
      <c r="A35" s="422" t="s">
        <v>142</v>
      </c>
      <c r="B35" s="434"/>
      <c r="C35" s="34" t="s">
        <v>92</v>
      </c>
      <c r="D35" s="733" t="s">
        <v>143</v>
      </c>
      <c r="E35" s="733"/>
      <c r="F35" s="733"/>
      <c r="H35" s="56"/>
      <c r="I35" s="57"/>
      <c r="J35" s="58"/>
      <c r="K35" s="57"/>
      <c r="L35" s="57"/>
      <c r="M35" s="57"/>
    </row>
    <row r="36" spans="1:41" ht="30" customHeight="1">
      <c r="A36" s="428" t="s">
        <v>425</v>
      </c>
      <c r="B36" s="433">
        <f>IF(B32="Yes",(B31/B34)*B35,1)</f>
        <v>1</v>
      </c>
      <c r="C36" s="53"/>
      <c r="D36" s="35"/>
      <c r="E36" s="35"/>
      <c r="F36" s="35"/>
      <c r="G36" s="155"/>
      <c r="H36" s="56"/>
      <c r="I36" s="57"/>
      <c r="J36" s="58"/>
      <c r="K36" s="41"/>
      <c r="L36" s="41"/>
      <c r="M36" s="41"/>
    </row>
    <row r="37" spans="1:41" s="53" customFormat="1" ht="34.15" customHeight="1" thickBot="1">
      <c r="C37" s="34"/>
      <c r="D37" s="66"/>
      <c r="E37" s="66"/>
      <c r="F37" s="66"/>
      <c r="G37" s="34"/>
      <c r="H37" s="261" t="s">
        <v>481</v>
      </c>
      <c r="I37" s="261" t="s">
        <v>482</v>
      </c>
      <c r="J37" s="261" t="s">
        <v>483</v>
      </c>
      <c r="K37" s="41"/>
      <c r="L37" s="41"/>
      <c r="M37" s="41"/>
      <c r="N37" s="34"/>
      <c r="P37" s="43"/>
      <c r="Q37" s="34"/>
      <c r="R37" s="34"/>
      <c r="S37" s="34"/>
      <c r="T37" s="34"/>
      <c r="U37" s="65"/>
      <c r="V37" s="65"/>
      <c r="W37" s="65"/>
      <c r="X37" s="34"/>
      <c r="Y37" s="34"/>
      <c r="Z37" s="34"/>
      <c r="AA37" s="34"/>
      <c r="AB37" s="34"/>
      <c r="AC37" s="34"/>
      <c r="AD37" s="34"/>
      <c r="AE37" s="34"/>
      <c r="AF37" s="34"/>
      <c r="AG37" s="34"/>
      <c r="AH37" s="34"/>
      <c r="AI37" s="34"/>
      <c r="AJ37" s="34"/>
      <c r="AK37" s="34"/>
      <c r="AL37" s="34"/>
      <c r="AM37" s="34"/>
      <c r="AN37" s="34"/>
      <c r="AO37" s="34"/>
    </row>
    <row r="38" spans="1:41" ht="78.599999999999994" customHeight="1">
      <c r="A38" s="768" t="str">
        <f>"Select the test Conditions according to the test data available from "&amp;B14</f>
        <v>Select the test Conditions according to the test data available from I.S. EN 14825</v>
      </c>
      <c r="B38" s="435" t="str">
        <f>AD4</f>
        <v>High Temperature</v>
      </c>
      <c r="C38" s="432" t="s">
        <v>37</v>
      </c>
      <c r="D38" s="759" t="str">
        <f>"Source from Ecodesign Data or accredited tests to " &amp;B14</f>
        <v>Source from Ecodesign Data or accredited tests to I.S. EN 14825</v>
      </c>
      <c r="E38" s="760"/>
      <c r="F38" s="761"/>
      <c r="G38" s="747" t="str">
        <f>"GUIDANCE NOTE: 
" &amp; IF($B$24="Yes","This is a 'to-air' heat pump. Select NO for all but "&amp;B38,
IF($G$10=$R$2,B38&amp;" Application Data is a mandatory requirement under Ecodesign Directive for this heat pump so must be selected as well as any other temperature applications for which test data is available",
B39&amp;" Application Data is a mandatory requirement under Ecodesign Directive for this heat pump so must be selected. If it is available, application data may also be selected at "&amp;B40))</f>
        <v>GUIDANCE NOTE: 
High Temperature Application Data is a mandatory requirement under Ecodesign Directive for this heat pump so must be selected as well as any other temperature applications for which test data is available</v>
      </c>
      <c r="H38" s="261" t="b">
        <f>IF($B$24="Yes",TRUE,FALSE)</f>
        <v>0</v>
      </c>
      <c r="I38" s="261" t="b">
        <f>IF($G$10=$R$1,TRUE,FALSE)</f>
        <v>0</v>
      </c>
      <c r="J38" s="261" t="str">
        <f>IF($I$38,"No","Yes")</f>
        <v>Yes</v>
      </c>
      <c r="K38" s="57"/>
      <c r="L38" s="57"/>
      <c r="M38" s="57"/>
      <c r="N38" s="53"/>
      <c r="O38" s="43"/>
      <c r="P38" s="4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row>
    <row r="39" spans="1:41" s="53" customFormat="1" ht="31.5" customHeight="1">
      <c r="A39" s="769"/>
      <c r="B39" s="435" t="str">
        <f>AD2</f>
        <v>Low Temperature</v>
      </c>
      <c r="C39" s="432" t="s">
        <v>38</v>
      </c>
      <c r="D39" s="762"/>
      <c r="E39" s="763"/>
      <c r="F39" s="764"/>
      <c r="G39" s="748"/>
      <c r="H39" s="72"/>
      <c r="I39" s="57"/>
      <c r="J39" s="261" t="str">
        <f>IF($I$38,"Yes",IF($H$38,"No",C39))</f>
        <v>No</v>
      </c>
      <c r="K39" s="57"/>
      <c r="L39" s="57"/>
      <c r="M39" s="57"/>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row>
    <row r="40" spans="1:41" ht="25.9" customHeight="1">
      <c r="A40" s="769"/>
      <c r="B40" s="435" t="str">
        <f>AD3</f>
        <v>Medium Temperature</v>
      </c>
      <c r="C40" s="432" t="s">
        <v>38</v>
      </c>
      <c r="D40" s="762"/>
      <c r="E40" s="763"/>
      <c r="F40" s="764"/>
      <c r="G40" s="748"/>
      <c r="H40" s="72"/>
      <c r="I40" s="57"/>
      <c r="J40" s="261" t="str">
        <f>IF($I$38,C40,IF($H$38,"No",C40))</f>
        <v>No</v>
      </c>
      <c r="K40" s="57"/>
      <c r="L40" s="57"/>
      <c r="M40" s="57"/>
    </row>
    <row r="41" spans="1:41" ht="26.45" customHeight="1" thickBot="1">
      <c r="A41" s="770"/>
      <c r="B41" s="435" t="str">
        <f>AD5</f>
        <v>Very high Temperature</v>
      </c>
      <c r="C41" s="432" t="s">
        <v>38</v>
      </c>
      <c r="D41" s="765"/>
      <c r="E41" s="766"/>
      <c r="F41" s="767"/>
      <c r="G41" s="749"/>
      <c r="H41" s="72"/>
      <c r="I41" s="57"/>
      <c r="J41" s="261" t="str">
        <f>IF($I$38,"No",IF($H$38,"No",C41))</f>
        <v>No</v>
      </c>
      <c r="K41" s="57"/>
      <c r="L41" s="57"/>
      <c r="M41" s="57"/>
      <c r="U41" s="65"/>
      <c r="V41" s="65"/>
      <c r="W41" s="65"/>
    </row>
    <row r="42" spans="1:41" ht="66.599999999999994" customHeight="1" thickBot="1">
      <c r="A42" s="74"/>
      <c r="B42" s="183" t="str">
        <f>"Maximum test temperature allowed for in tests to "&amp;B14</f>
        <v>Maximum test temperature allowed for in tests to I.S. EN 14825</v>
      </c>
      <c r="C42" s="184">
        <f>IF($B$24="Yes",35,IF(C41="Yes",65,IF(C38="Yes",55,IF(C40="Yes",45,35))))</f>
        <v>55</v>
      </c>
      <c r="D42" s="757" t="str">
        <f>IF(B25&gt;C42,"ERROR: Heat Pump data not suitable for Design Flow Temperature, test data must be available for higher supply temperature","")</f>
        <v/>
      </c>
      <c r="E42" s="758"/>
      <c r="F42" s="758"/>
      <c r="G42" s="260" t="str">
        <f>IF(C38&amp;C39&amp;C40&amp;C41&lt;&gt;J38&amp;J39&amp;J40&amp;J41,"Warning: incorrect application temperatures selected for this heat pump type. Check entries please.","")</f>
        <v/>
      </c>
      <c r="H42" s="72"/>
      <c r="I42" s="72"/>
      <c r="J42" s="58"/>
      <c r="K42" s="57"/>
      <c r="L42" s="57"/>
      <c r="M42" s="57"/>
      <c r="U42" s="65"/>
      <c r="V42" s="65"/>
      <c r="W42" s="65"/>
    </row>
    <row r="43" spans="1:41" ht="33.75" customHeight="1" thickBot="1">
      <c r="A43" s="77" t="s">
        <v>1</v>
      </c>
      <c r="B43" s="185" t="str">
        <f>"Test Conditions "&amp;B14</f>
        <v>Test Conditions I.S. EN 14825</v>
      </c>
      <c r="C43" s="188" t="s">
        <v>145</v>
      </c>
      <c r="D43" s="189" t="s">
        <v>146</v>
      </c>
      <c r="E43" s="189" t="s">
        <v>147</v>
      </c>
      <c r="F43" s="189" t="s">
        <v>148</v>
      </c>
      <c r="G43" s="190" t="s">
        <v>149</v>
      </c>
      <c r="H43" s="78"/>
      <c r="I43" s="79"/>
      <c r="J43" s="58"/>
      <c r="K43" s="41"/>
      <c r="L43" s="41"/>
      <c r="M43" s="41"/>
      <c r="N43" s="53"/>
      <c r="O43" s="53"/>
      <c r="P43" s="53"/>
      <c r="Q43" s="53"/>
      <c r="R43" s="53" t="s">
        <v>1</v>
      </c>
      <c r="S43" s="53" t="s">
        <v>1</v>
      </c>
      <c r="T43" s="53"/>
      <c r="U43" s="53"/>
      <c r="V43" s="53"/>
      <c r="W43" s="53"/>
      <c r="X43" s="53"/>
      <c r="Y43" s="53"/>
      <c r="Z43" s="53"/>
      <c r="AA43" s="53"/>
      <c r="AB43" s="53"/>
      <c r="AC43" s="53"/>
      <c r="AD43" s="53"/>
      <c r="AE43" s="53"/>
      <c r="AF43" s="53"/>
      <c r="AG43" s="53"/>
      <c r="AH43" s="53"/>
      <c r="AI43" s="53"/>
      <c r="AJ43" s="53"/>
      <c r="AK43" s="53"/>
      <c r="AL43" s="53"/>
      <c r="AM43" s="53"/>
      <c r="AN43" s="53"/>
      <c r="AO43" s="53"/>
    </row>
    <row r="44" spans="1:41" s="53" customFormat="1" ht="51.75" customHeight="1">
      <c r="A44" s="80" t="str">
        <f>B39&amp;" Application (35degC)"</f>
        <v>Low Temperature Application (35degC)</v>
      </c>
      <c r="B44" s="436" t="s">
        <v>150</v>
      </c>
      <c r="C44" s="448" t="str">
        <f>IF(OR($B$12="Water to Water",$B$12="Water to Air"),"W10",
IF(OR($B$12="Brine to Water",$B$12="Brine to Air"),"B0",
IF($B$12=$S$4,"A20",
IF($B$12=$S$5,"E4",
"A-7"))))</f>
        <v>A-7</v>
      </c>
      <c r="D44" s="449" t="str">
        <f>IF(OR($B$12="Water to Water",$B$12="Water to Air"),"W10",
IF(OR($B$12="Brine to Water",$B$12="Brine to Air"),"B0",
IF($B$12=$S$4,"A20",
IF($B$12=$S$5,"E4",
"A2"))))</f>
        <v>A2</v>
      </c>
      <c r="E44" s="449" t="str">
        <f>IF(OR($B$12="Water to Water",$B$12="Water to Air"),"W10",
IF(OR($B$12="Brine to Water",$B$12="Brine to Air"),"B0",
IF($B$12=$S$4,"A20",
IF($B$12=$S$5,"E4",
"A7"))))</f>
        <v>A7</v>
      </c>
      <c r="F44" s="449" t="str">
        <f>IF(OR($B$12="Water to Water",$B$12="Water to Air"),"W10",
IF(OR($B$12="Brine to Water",$B$12="Brine to Air"),"B0",
IF($B$12=$S$4,"A20",
IF($B$12=$S$5,"E4",
"A12"))))</f>
        <v>A12</v>
      </c>
      <c r="G44" s="450" t="str">
        <f>IF(OR($B$12="Water to Water",$B$12="Water to Air"),"W10",
IF(OR($B$12="Brine to Water",$B$12="Brine to Air"),"B0",
IF($B$12=$S$4,"A20",
IF($B$12=$S$5,"E4",
"A"&amp;$B$15))))</f>
        <v>A</v>
      </c>
      <c r="H44" s="81"/>
      <c r="I44" s="83"/>
      <c r="J44" s="58"/>
      <c r="K44" s="57"/>
      <c r="L44" s="57"/>
      <c r="M44" s="57"/>
    </row>
    <row r="45" spans="1:41" s="53" customFormat="1" ht="32.25" customHeight="1">
      <c r="A45" s="186" t="str">
        <f>"Standard: "&amp;$B$14</f>
        <v>Standard: I.S. EN 14825</v>
      </c>
      <c r="B45" s="437" t="s">
        <v>151</v>
      </c>
      <c r="C45" s="451" t="str">
        <f>IF(OR($B$12="Water to Air",$B$12="Air to Air",$B$12="Brine to Air"),"A20",(IF($B$13="Fixed Outlet","W35","W34")))</f>
        <v>W35</v>
      </c>
      <c r="D45" s="452" t="str">
        <f>IF(OR($B$12="Water to Air",$B$12="Air to Air",$B$12="Brine to Air"),"A20",(IF($B$13="Fixed Outlet","W35","W30")))</f>
        <v>W35</v>
      </c>
      <c r="E45" s="452" t="str">
        <f>IF(OR($B$12="Water to Air",$B$12="Air to Air",$B$12="Brine to Air"),"A20",(IF($B$13="Fixed Outlet","W35","W27")))</f>
        <v>W35</v>
      </c>
      <c r="F45" s="452" t="str">
        <f>IF(OR($B$12="Water to Air",$B$12="Air to Air",$B$12="Brine to Air"),"A20",(IF($B$13="Fixed Outlet","W35","W24")))</f>
        <v>W35</v>
      </c>
      <c r="G45" s="453" t="str">
        <f>IF(OR($B$12="Water to Air",$B$12="Air to Air",$B$12="Brine to Air"),"A20",(IF($B$13="Fixed Outlet","W35","W35")))</f>
        <v>W35</v>
      </c>
      <c r="H45" s="81"/>
      <c r="I45" s="83"/>
      <c r="J45" s="58"/>
      <c r="K45" s="57"/>
      <c r="L45" s="57"/>
      <c r="M45" s="57"/>
    </row>
    <row r="46" spans="1:41" s="53" customFormat="1" ht="31.5" customHeight="1">
      <c r="A46" s="751" t="str">
        <f>IF($B$24="yes","No entries required here. 'To-air' heat pump",
" Source from Ecodesign data or 
"&amp;IF($B$14=$N$1, "I.S. EN14825 Table 8 for air source. 
Table 12 for brine, water or DX source. 
[These table # references are from 2016 version of this standard]",
IF($B$14=$N$2,"I.S. EN12309-6 Table 5 for air source. 
Table 17 for Brine or Water source.
[These table # references are from 2014 version of this standard]",
"")))</f>
        <v xml:space="preserve"> Source from Ecodesign data or 
I.S. EN14825 Table 8 for air source. 
Table 12 for brine, water or DX source. 
[These table # references are from 2016 version of this standard]</v>
      </c>
      <c r="B46" s="437" t="s">
        <v>152</v>
      </c>
      <c r="C46" s="414"/>
      <c r="D46" s="432"/>
      <c r="E46" s="432"/>
      <c r="F46" s="432"/>
      <c r="G46" s="457"/>
      <c r="H46" s="84"/>
      <c r="I46" s="57"/>
      <c r="J46" s="58"/>
      <c r="K46" s="57"/>
      <c r="L46" s="57"/>
      <c r="M46" s="57"/>
      <c r="N46" s="34"/>
      <c r="O46" s="34"/>
      <c r="P46" s="34"/>
      <c r="Q46" s="34"/>
      <c r="R46" s="34"/>
      <c r="S46" s="34"/>
      <c r="T46" s="34"/>
      <c r="U46" s="65"/>
      <c r="V46" s="65"/>
      <c r="W46" s="65"/>
      <c r="X46" s="34"/>
      <c r="Y46" s="34"/>
      <c r="Z46" s="34"/>
      <c r="AA46" s="34"/>
      <c r="AB46" s="34"/>
      <c r="AC46" s="34"/>
      <c r="AD46" s="34"/>
      <c r="AE46" s="34"/>
      <c r="AF46" s="34"/>
      <c r="AG46" s="34"/>
      <c r="AH46" s="34"/>
      <c r="AI46" s="34"/>
      <c r="AJ46" s="34"/>
      <c r="AK46" s="34"/>
      <c r="AL46" s="34"/>
      <c r="AM46" s="34"/>
      <c r="AN46" s="34"/>
      <c r="AO46" s="34"/>
    </row>
    <row r="47" spans="1:41" ht="43.15" customHeight="1" thickBot="1">
      <c r="A47" s="752"/>
      <c r="B47" s="438" t="s">
        <v>153</v>
      </c>
      <c r="C47" s="454"/>
      <c r="D47" s="455"/>
      <c r="E47" s="455"/>
      <c r="F47" s="455"/>
      <c r="G47" s="456"/>
      <c r="H47" s="86"/>
      <c r="I47" s="83"/>
      <c r="J47" s="58"/>
      <c r="K47" s="41"/>
      <c r="L47" s="41"/>
      <c r="M47" s="41"/>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row>
    <row r="48" spans="1:41" s="53" customFormat="1" ht="36" customHeight="1">
      <c r="A48" s="80" t="str">
        <f>B40&amp;" Application (45degC)"</f>
        <v>Medium Temperature Application (45degC)</v>
      </c>
      <c r="B48" s="440" t="s">
        <v>150</v>
      </c>
      <c r="C48" s="448" t="str">
        <f>IF(OR($B$12="Water to Water",$B$12="Water to Air"),"W10",
IF(OR($B$12="Brine to Water",$B$12="Brine to Air"),"B0",
IF($B$12=$S$4,"A20",
IF($B$12=$S$5,"E4",
"A-7"))))</f>
        <v>A-7</v>
      </c>
      <c r="D48" s="449" t="str">
        <f>IF(OR($B$12="Water to Water",$B$12="Water to Air"),"W10",
IF(OR($B$12="Brine to Water",$B$12="Brine to Air"),"B0",
IF($B$12=$S$4,"A20",
IF($B$12=$S$5,"E4",
"A2"))))</f>
        <v>A2</v>
      </c>
      <c r="E48" s="449" t="str">
        <f>IF(OR($B$12="Water to Water",$B$12="Water to Air"),"W10",
IF(OR($B$12="Brine to Water",$B$12="Brine to Air"),"B0",
IF($B$12=$S$4,"A20",
IF($B$12=$S$5,"E4",
"A7"))))</f>
        <v>A7</v>
      </c>
      <c r="F48" s="449" t="str">
        <f>IF(OR($B$12="Water to Water",$B$12="Water to Air"),"W10",
IF(OR($B$12="Brine to Water",$B$12="Brine to Air"),"B0",
IF($B$12=$S$4,"A20",
IF($B$12=$S$5,"E4",
"A12"))))</f>
        <v>A12</v>
      </c>
      <c r="G48" s="450" t="str">
        <f>IF(OR($B$12="Water to Water",$B$12="Water to Air"),"W10",
IF(OR($B$12="Brine to Water",$B$12="Brine to Air"),"B0",
IF($B$12=$S$4,"A20",
IF($B$12=$S$5,"E4",
"A"&amp;$B$15))))</f>
        <v>A</v>
      </c>
      <c r="H48" s="86"/>
      <c r="I48" s="88"/>
      <c r="J48" s="58"/>
      <c r="K48" s="57"/>
      <c r="L48" s="57"/>
      <c r="M48" s="57"/>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row>
    <row r="49" spans="1:157" ht="15.75" customHeight="1">
      <c r="A49" s="186" t="str">
        <f>"Standard: "&amp;$B$14</f>
        <v>Standard: I.S. EN 14825</v>
      </c>
      <c r="B49" s="441" t="s">
        <v>151</v>
      </c>
      <c r="C49" s="451" t="str">
        <f>IF(OR($B$12="Water to Air",$B$12="Air to Air",$B$12="Brine to Air"),"A20",(IF($B$13="Fixed Outlet","W45","W43")))</f>
        <v>W45</v>
      </c>
      <c r="D49" s="452" t="str">
        <f>IF(OR($B$12="Water to Air",$B$12="Air to Air",$B$12="Brine to Air"),"A20",(IF($B$13="Fixed Outlet","W45","W37")))</f>
        <v>W45</v>
      </c>
      <c r="E49" s="452" t="str">
        <f>IF(OR($B$12="Water to Air",$B$12="Air to Air",$B$12="Brine to Air"),"A20",(IF($B$13="Fixed Outlet","W45","W33")))</f>
        <v>W45</v>
      </c>
      <c r="F49" s="452" t="str">
        <f>IF(OR($B$12="Water to Air",$B$12="Air to Air",$B$12="Brine to Air"),"A20",(IF($B$13="Fixed Outlet","W45","W28")))</f>
        <v>W45</v>
      </c>
      <c r="G49" s="453" t="str">
        <f>IF(OR($B$12="Water to Air",$B$12="Air to Air",$B$12="Brine to Air"),"A20",(IF($B$13="Fixed Outlet","W45","W45")))</f>
        <v>W45</v>
      </c>
      <c r="H49" s="86"/>
      <c r="I49" s="88"/>
      <c r="J49" s="58"/>
      <c r="K49" s="57"/>
      <c r="L49" s="57"/>
      <c r="M49" s="57"/>
    </row>
    <row r="50" spans="1:157" ht="15.75" customHeight="1">
      <c r="A50" s="751" t="str">
        <f>IF($B$24="yes","No entries required here. 'To-air' heat pump",
" Source from Ecodesign data or 
"&amp;IF($B$14=$N$1, "I.S. EN14825 Table 9 for air source. 
Table 13 for brine, water or DX source. 
[These table # references are from 2016 version of this standard]",
IF($B$14=$N$2,"I.S. EN12309-6 Table 8 for air source. 
Table 20 for Brine or Water source.
[These table # references are from 2014 version of this standard]",
"")))</f>
        <v xml:space="preserve"> Source from Ecodesign data or 
I.S. EN14825 Table 9 for air source. 
Table 13 for brine, water or DX source. 
[These table # references are from 2016 version of this standard]</v>
      </c>
      <c r="B50" s="441" t="s">
        <v>152</v>
      </c>
      <c r="C50" s="414"/>
      <c r="D50" s="432"/>
      <c r="E50" s="432"/>
      <c r="F50" s="432"/>
      <c r="G50" s="457"/>
      <c r="H50" s="81"/>
      <c r="I50" s="83"/>
      <c r="J50" s="58"/>
      <c r="K50" s="57"/>
      <c r="L50" s="57"/>
      <c r="M50" s="57"/>
      <c r="N50" s="69"/>
    </row>
    <row r="51" spans="1:157" ht="60" customHeight="1" thickBot="1">
      <c r="A51" s="752"/>
      <c r="B51" s="443" t="s">
        <v>153</v>
      </c>
      <c r="C51" s="454"/>
      <c r="D51" s="455"/>
      <c r="E51" s="455"/>
      <c r="F51" s="455"/>
      <c r="G51" s="456"/>
      <c r="H51" s="90"/>
      <c r="I51" s="81"/>
      <c r="J51" s="58"/>
      <c r="K51" s="57"/>
      <c r="L51" s="57"/>
      <c r="M51" s="57"/>
      <c r="N51" s="70" t="s">
        <v>1</v>
      </c>
    </row>
    <row r="52" spans="1:157" ht="28.5" customHeight="1">
      <c r="A52" s="187" t="str">
        <f>IF(B24="Yes","To Air test points",B38&amp;" Application (55degC).")</f>
        <v>High Temperature Application (55degC).</v>
      </c>
      <c r="B52" s="440" t="s">
        <v>150</v>
      </c>
      <c r="C52" s="448" t="str">
        <f>IF(OR($B$12="Water to Water",$B$12="Water to Air"),"W10",
IF(OR($B$12="Brine to Water",$B$12="Brine to Air"),"B0",
IF(LEFT($B$12,7)="Exhaust","A20",
IF($B$12=$S$5,"E4",
"A-7"))))</f>
        <v>A-7</v>
      </c>
      <c r="D52" s="449" t="str">
        <f>IF(OR($B$12="Water to Water",$B$12="Water to Air"),"W10",
IF(OR($B$12="Brine to Water",$B$12="Brine to Air"),"B0",
IF(LEFT($B$12,7)="Exhaust","A20",
IF($B$12=$S$5,"E4",
"A2"))))</f>
        <v>A2</v>
      </c>
      <c r="E52" s="449" t="str">
        <f>IF(OR($B$12="Water to Water",$B$12="Water to Air"),"W10",
IF(OR($B$12="Brine to Water",$B$12="Brine to Air"),"B0",
IF(LEFT($B$12,7)="Exhaust","A20",
IF($B$12=$S$5,"E4",
"A7"))))</f>
        <v>A7</v>
      </c>
      <c r="F52" s="449" t="str">
        <f>IF(OR($B$12="Water to Water",$B$12="Water to Air"),"W10",
IF(OR($B$12="Brine to Water",$B$12="Brine to Air"),"B0",
IF(LEFT($B$12,7)="Exhaust","A20",
IF($B$12=$S$5,"E4",
"A12"))))</f>
        <v>A12</v>
      </c>
      <c r="G52" s="450" t="str">
        <f>IF(OR($B$12="Water to Water",$B$12="Water to Air"),"W10",
IF(OR($B$12="Brine to Water",$B$12="Brine to Air"),"B0",
IF(LEFT($B$12,7)="Exhaust","A20",
IF($B$12=$S$5,"E4",
"A"&amp;$B$15))))</f>
        <v>A</v>
      </c>
      <c r="H52" s="90"/>
      <c r="I52" s="88"/>
      <c r="J52" s="73"/>
      <c r="K52" s="72"/>
      <c r="L52" s="72"/>
      <c r="M52" s="72"/>
      <c r="N52" s="74"/>
    </row>
    <row r="53" spans="1:157" ht="78.599999999999994" customHeight="1">
      <c r="A53" s="186" t="str">
        <f>"Standard: "&amp;$B$14</f>
        <v>Standard: I.S. EN 14825</v>
      </c>
      <c r="B53" s="441" t="s">
        <v>151</v>
      </c>
      <c r="C53" s="451" t="str">
        <f>IF($B$24="Yes","A20",(IF($B$13="Fixed Outlet","W55","W52")))</f>
        <v>W55</v>
      </c>
      <c r="D53" s="452" t="str">
        <f>IF($B$24="Yes","A20",(IF($B$13="Fixed Outlet","W55","W42")))</f>
        <v>W55</v>
      </c>
      <c r="E53" s="452" t="str">
        <f>IF($B$24="Yes","A20",(IF($B$13="Fixed Outlet","W55","W36")))</f>
        <v>W55</v>
      </c>
      <c r="F53" s="452" t="str">
        <f>IF($B$24="Yes","A20",(IF($B$13="Fixed Outlet","W55","W30")))</f>
        <v>W55</v>
      </c>
      <c r="G53" s="453" t="str">
        <f>IF($B$24="Yes","A20",(IF($B$13="Fixed Outlet","W55","W55")))</f>
        <v>W55</v>
      </c>
      <c r="H53" s="90"/>
      <c r="I53" s="88"/>
      <c r="J53" s="75"/>
      <c r="K53" s="41"/>
      <c r="L53" s="41"/>
      <c r="M53" s="41"/>
      <c r="N53" s="74"/>
      <c r="O53" s="53"/>
      <c r="P53" s="53"/>
      <c r="Q53" s="53"/>
      <c r="R53" s="53"/>
      <c r="S53" s="53"/>
      <c r="T53" s="53"/>
      <c r="U53" s="53"/>
    </row>
    <row r="54" spans="1:157" ht="30.75" customHeight="1">
      <c r="A54" s="751" t="str">
        <f>IF($B$24="yes",IF($B$14=$N$3,"Source data from I.S. EN 14511 as required by I.S. EN 13141 for this heat pump type. See DEAP manual Appendix G", "'To-air' heat pump. Source from Ecodesign data or I.S. EN14825 Table 6 for air source, and Table 7 for brine/water source"),
" Source from Ecodesign data or 
"&amp;IF($B$14=$N$1, "I.S. EN14825 Table 10 for air source. 
Table 14 for brine, water or DX source. 
[These table # references are from 2016 version of this standard]",
IF($B$14=$N$2,"I.S. EN12309-6 Table 11 for air source. 
Table 23 for Brine or Water source.
[These table # references are from 2014 version of this standard]",
"")))</f>
        <v xml:space="preserve"> Source from Ecodesign data or 
I.S. EN14825 Table 10 for air source. 
Table 14 for brine, water or DX source. 
[These table # references are from 2016 version of this standard]</v>
      </c>
      <c r="B54" s="441" t="s">
        <v>152</v>
      </c>
      <c r="C54" s="414"/>
      <c r="D54" s="432"/>
      <c r="E54" s="432"/>
      <c r="F54" s="432"/>
      <c r="G54" s="457"/>
      <c r="H54" s="34"/>
      <c r="I54" s="83"/>
      <c r="J54" s="76"/>
      <c r="K54" s="41"/>
      <c r="L54" s="41"/>
      <c r="M54" s="41"/>
      <c r="N54" s="74"/>
      <c r="O54" s="53"/>
      <c r="P54" s="53"/>
      <c r="Q54" s="53"/>
      <c r="R54" s="53"/>
      <c r="S54" s="53"/>
      <c r="T54" s="53"/>
      <c r="U54" s="53"/>
    </row>
    <row r="55" spans="1:157" ht="42.6" customHeight="1" thickBot="1">
      <c r="A55" s="752"/>
      <c r="B55" s="444" t="s">
        <v>153</v>
      </c>
      <c r="C55" s="454"/>
      <c r="D55" s="455"/>
      <c r="E55" s="455"/>
      <c r="F55" s="455"/>
      <c r="G55" s="456"/>
      <c r="H55" s="81"/>
      <c r="I55" s="81"/>
      <c r="J55" s="76"/>
      <c r="K55" s="41"/>
      <c r="L55" s="41"/>
      <c r="M55" s="41"/>
      <c r="N55" s="74"/>
      <c r="O55" s="53"/>
      <c r="P55" s="53"/>
      <c r="Q55" s="53"/>
      <c r="R55" s="53"/>
      <c r="S55" s="53"/>
      <c r="T55" s="53"/>
      <c r="U55" s="53"/>
    </row>
    <row r="56" spans="1:157" ht="30.75" customHeight="1">
      <c r="A56" s="80" t="str">
        <f>B41&amp;" Application (65degC)"</f>
        <v>Very high Temperature Application (65degC)</v>
      </c>
      <c r="B56" s="445" t="s">
        <v>150</v>
      </c>
      <c r="C56" s="448" t="str">
        <f>IF(OR($B$12="Water to Water",$B$12="Water to Air"),"W10",
IF(OR($B$12="Brine to Water",$B$12="Brine to Air"),"B0",
IF($B$12=$S$4,"A20",
IF($B$12=$S$5,"E4",
"A-7"))))</f>
        <v>A-7</v>
      </c>
      <c r="D56" s="449" t="str">
        <f>IF(OR($B$12="Water to Water",$B$12="Water to Air"),"W10",
IF(OR($B$12="Brine to Water",$B$12="Brine to Air"),"B0",
IF($B$12=$S$4,"A20",
IF($B$12=$S$5,"E4",
"A2"))))</f>
        <v>A2</v>
      </c>
      <c r="E56" s="449" t="str">
        <f>IF(OR($B$12="Water to Water",$B$12="Water to Air"),"W10",
IF(OR($B$12="Brine to Water",$B$12="Brine to Air"),"B0",
IF($B$12=$S$4,"A20",
IF($B$12=$S$5,"E4",
"A7"))))</f>
        <v>A7</v>
      </c>
      <c r="F56" s="449" t="str">
        <f>IF(OR($B$12="Water to Water",$B$12="Water to Air"),"W10",
IF(OR($B$12="Brine to Water",$B$12="Brine to Air"),"B0",
IF($B$12=$S$4,"A20",
IF($B$12=$S$5,"E4",
"A12"))))</f>
        <v>A12</v>
      </c>
      <c r="G56" s="450" t="str">
        <f>IF(OR($B$12="Water to Water",$B$12="Water to Air"),"W10",
IF(OR($B$12="Brine to Water",$B$12="Brine to Air"),"B0",
IF($B$12=$S$4,"A20",
IF($B$12=$S$5,"E4",
"A"&amp;$B$15))))</f>
        <v>A</v>
      </c>
      <c r="H56" s="90"/>
      <c r="I56" s="88"/>
      <c r="J56" s="76"/>
      <c r="K56" s="41"/>
      <c r="L56" s="41"/>
      <c r="M56" s="41"/>
      <c r="N56" s="43"/>
      <c r="O56" s="43"/>
      <c r="P56" s="43"/>
      <c r="Q56" s="43"/>
      <c r="R56" s="43"/>
      <c r="S56" s="43"/>
      <c r="T56" s="43"/>
      <c r="U56" s="53"/>
    </row>
    <row r="57" spans="1:157" ht="49.5" customHeight="1">
      <c r="A57" s="186" t="str">
        <f>"Standard: "&amp;$B$14</f>
        <v>Standard: I.S. EN 14825</v>
      </c>
      <c r="B57" s="441" t="s">
        <v>151</v>
      </c>
      <c r="C57" s="451" t="str">
        <f>IF(OR($B$12="Water to Air",$B$12="Air to Air",$B$12="Brine to Air"),"A20",(IF($B$13="Fixed Outlet","W65","W61")))</f>
        <v>W65</v>
      </c>
      <c r="D57" s="452" t="str">
        <f>IF(OR($B$12="Water to Air",$B$12="Air to Air",$B$12="Brine to Air"),"A20",(IF($B$13="Fixed Outlet","W65","W49")))</f>
        <v>W65</v>
      </c>
      <c r="E57" s="452" t="str">
        <f>IF(OR($B$12="Water to Air",$B$12="Air to Air",$B$12="Brine to Air"),"A20",(IF($B$13="Fixed Outlet","W65","W41")))</f>
        <v>W65</v>
      </c>
      <c r="F57" s="452" t="str">
        <f>IF(OR($B$12="Water to Air",$B$12="Air to Air",$B$12="Brine to Air"),"A20",(IF($B$13="Fixed Outlet","W65","W32")))</f>
        <v>W65</v>
      </c>
      <c r="G57" s="453" t="str">
        <f>IF(OR($B$12="Water to Air",$B$12="Air to Air",$B$12="Brine to Air"),"A20",(IF($B$13="Fixed Outlet","W65","W65")))</f>
        <v>W65</v>
      </c>
      <c r="H57" s="90"/>
      <c r="I57" s="88"/>
      <c r="J57" s="76"/>
      <c r="K57" s="72"/>
      <c r="L57" s="72"/>
      <c r="M57" s="72"/>
      <c r="N57" s="43"/>
      <c r="O57" s="43"/>
      <c r="P57" s="43"/>
      <c r="Q57" s="43"/>
      <c r="R57" s="43"/>
      <c r="S57" s="43"/>
      <c r="T57" s="43"/>
      <c r="U57" s="53"/>
    </row>
    <row r="58" spans="1:157" ht="30.75" customHeight="1">
      <c r="A58" s="751" t="str">
        <f>IF($B$24="yes","No entries required here. 'To-air' heat pump",
" Source from Ecodesign data or 
"&amp;IF($B$14=$N$1, "I.S. EN14825 Table 11 for air source. 
Table 15 for brine, water or DX source. 
[These table # references are from 2016 version of this standard]",
IF($B$14=$N$2,"I.S. EN12309-6 Table 14 for air source. 
Table 26 for Brine or Water source.
[These table # references are from 2014 version of this standard]",
"")))</f>
        <v xml:space="preserve"> Source from Ecodesign data or 
I.S. EN14825 Table 11 for air source. 
Table 15 for brine, water or DX source. 
[These table # references are from 2016 version of this standard]</v>
      </c>
      <c r="B58" s="441" t="s">
        <v>152</v>
      </c>
      <c r="C58" s="414"/>
      <c r="D58" s="432"/>
      <c r="E58" s="432"/>
      <c r="F58" s="432"/>
      <c r="G58" s="457"/>
      <c r="H58" s="90"/>
      <c r="I58" s="83"/>
      <c r="J58" s="76"/>
      <c r="K58" s="79"/>
      <c r="L58" s="79"/>
      <c r="M58" s="79"/>
      <c r="N58" s="43"/>
      <c r="O58" s="43"/>
      <c r="P58" s="43"/>
      <c r="Q58" s="43"/>
      <c r="R58" s="43"/>
      <c r="S58" s="43"/>
      <c r="T58" s="43"/>
      <c r="U58" s="53"/>
    </row>
    <row r="59" spans="1:157" ht="43.9" customHeight="1" thickBot="1">
      <c r="A59" s="752"/>
      <c r="B59" s="444" t="s">
        <v>153</v>
      </c>
      <c r="C59" s="454"/>
      <c r="D59" s="455"/>
      <c r="E59" s="455"/>
      <c r="F59" s="455"/>
      <c r="G59" s="456"/>
      <c r="H59" s="86"/>
      <c r="I59" s="57"/>
      <c r="J59" s="82"/>
      <c r="K59" s="41"/>
      <c r="L59" s="41"/>
      <c r="M59" s="41"/>
      <c r="N59" s="43"/>
      <c r="O59" s="43"/>
      <c r="P59" s="43"/>
      <c r="Q59" s="43"/>
      <c r="R59" s="43"/>
      <c r="S59" s="43"/>
      <c r="T59" s="43"/>
      <c r="U59" s="53"/>
    </row>
    <row r="60" spans="1:157" ht="30.75" customHeight="1">
      <c r="A60" s="122"/>
      <c r="B60" s="123"/>
      <c r="C60" s="87"/>
      <c r="D60" s="87"/>
      <c r="E60" s="87"/>
      <c r="F60" s="87"/>
      <c r="G60" s="87"/>
      <c r="H60" s="86"/>
      <c r="I60" s="57"/>
      <c r="J60" s="82"/>
      <c r="K60" s="41"/>
      <c r="L60" s="41"/>
      <c r="M60" s="41"/>
      <c r="N60" s="43"/>
      <c r="O60" s="43"/>
      <c r="P60" s="43"/>
      <c r="Q60" s="43"/>
      <c r="R60" s="43"/>
      <c r="S60" s="43"/>
      <c r="T60" s="43"/>
      <c r="U60" s="53"/>
    </row>
    <row r="61" spans="1:157" ht="30.75" customHeight="1" thickBot="1">
      <c r="A61" s="122"/>
      <c r="B61" s="123"/>
      <c r="C61" s="87"/>
      <c r="D61" s="87"/>
      <c r="E61" s="87"/>
      <c r="F61" s="87"/>
      <c r="G61" s="87"/>
      <c r="H61" s="86"/>
      <c r="I61" s="57"/>
      <c r="J61" s="82"/>
      <c r="K61" s="41"/>
      <c r="L61" s="41"/>
      <c r="M61" s="41"/>
      <c r="N61" s="43"/>
      <c r="O61" s="43"/>
      <c r="P61" s="43"/>
      <c r="Q61" s="43"/>
      <c r="R61" s="43"/>
      <c r="S61" s="43"/>
      <c r="T61" s="43"/>
      <c r="U61" s="53"/>
    </row>
    <row r="62" spans="1:157" ht="29.25" customHeight="1" thickBot="1">
      <c r="A62" s="8" t="str">
        <f>IF(N11=FALSE,"No heat Pump for Water Heating - PROCEED TO SPACE HEATING","Heat Pump for Water Heating")</f>
        <v>No heat Pump for Water Heating - PROCEED TO SPACE HEATING</v>
      </c>
      <c r="B62" s="8"/>
      <c r="C62" s="736" t="str">
        <f>IF(N11,E231,".")</f>
        <v>.</v>
      </c>
      <c r="D62" s="737"/>
      <c r="E62" s="737"/>
      <c r="F62" s="737"/>
      <c r="G62" s="737"/>
      <c r="H62" s="737"/>
      <c r="I62" s="738"/>
      <c r="J62" s="58"/>
      <c r="K62" s="57"/>
      <c r="L62" s="57"/>
      <c r="M62" s="57"/>
      <c r="N62" s="53"/>
      <c r="O62" s="53"/>
      <c r="P62" s="43"/>
      <c r="Q62" s="53"/>
      <c r="R62" s="53" t="s">
        <v>1</v>
      </c>
      <c r="S62" s="53"/>
      <c r="T62" s="53"/>
      <c r="U62" s="53"/>
      <c r="V62" s="53"/>
      <c r="W62" s="53"/>
      <c r="X62" s="53"/>
      <c r="Y62" s="53"/>
      <c r="Z62" s="53"/>
      <c r="AA62" s="53"/>
      <c r="AB62" s="53"/>
      <c r="AC62" s="53"/>
      <c r="AD62" s="53"/>
      <c r="AE62" s="53"/>
      <c r="AF62" s="53"/>
      <c r="AG62" s="53"/>
      <c r="AH62" s="53"/>
      <c r="AI62" s="53"/>
      <c r="AJ62" s="53"/>
      <c r="AK62" s="53"/>
      <c r="AL62" s="53"/>
      <c r="AM62" s="53"/>
      <c r="AN62" s="53"/>
      <c r="AO62" s="53"/>
    </row>
    <row r="63" spans="1:157" s="53" customFormat="1" ht="35.25" customHeight="1">
      <c r="A63" s="46" t="s">
        <v>102</v>
      </c>
      <c r="B63" s="416"/>
      <c r="C63" s="34"/>
      <c r="D63" s="773" t="s">
        <v>384</v>
      </c>
      <c r="E63" s="773"/>
      <c r="F63" s="773"/>
      <c r="G63" s="149" t="s">
        <v>44</v>
      </c>
      <c r="H63" s="45"/>
      <c r="I63" s="41"/>
      <c r="J63" s="44"/>
      <c r="K63" s="57"/>
      <c r="L63" s="57"/>
      <c r="M63" s="57"/>
      <c r="N63" s="34"/>
      <c r="P63" s="43"/>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row>
    <row r="64" spans="1:157" ht="52.15" customHeight="1">
      <c r="A64" s="36" t="s">
        <v>105</v>
      </c>
      <c r="B64" s="417"/>
      <c r="D64" s="773" t="s">
        <v>390</v>
      </c>
      <c r="E64" s="773"/>
      <c r="F64" s="773"/>
      <c r="G64" s="150" t="s">
        <v>385</v>
      </c>
      <c r="H64" s="45"/>
      <c r="I64" s="41"/>
      <c r="J64" s="44"/>
      <c r="K64" s="41"/>
      <c r="L64" s="41"/>
      <c r="M64" s="41"/>
      <c r="N64" s="43"/>
      <c r="O64" s="43"/>
      <c r="P64" s="43"/>
      <c r="Q64" s="43"/>
      <c r="R64" s="43"/>
      <c r="S64" s="43"/>
      <c r="T64" s="43"/>
      <c r="U64" s="43"/>
      <c r="V64" s="43"/>
      <c r="W64" s="43" t="s">
        <v>50</v>
      </c>
      <c r="X64" s="43">
        <v>1.2</v>
      </c>
      <c r="Y64" s="43"/>
      <c r="Z64" s="43"/>
      <c r="AA64" s="43"/>
      <c r="AB64" s="43"/>
      <c r="AC64" s="43"/>
      <c r="AD64" s="43"/>
      <c r="AE64" s="43"/>
      <c r="AF64" s="43"/>
      <c r="AG64" s="43"/>
      <c r="AH64" s="43"/>
      <c r="AI64" s="43"/>
      <c r="AJ64" s="43"/>
      <c r="AK64" s="43"/>
      <c r="AL64" s="39" t="s">
        <v>101</v>
      </c>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43"/>
      <c r="CY64" s="43"/>
      <c r="CZ64" s="43"/>
      <c r="DA64" s="43"/>
      <c r="DB64" s="43"/>
      <c r="DC64" s="43"/>
      <c r="DD64" s="43"/>
      <c r="DE64" s="43"/>
      <c r="DF64" s="43"/>
      <c r="DG64" s="43"/>
      <c r="DH64" s="43"/>
      <c r="DI64" s="43"/>
      <c r="DJ64" s="43"/>
      <c r="DK64" s="43"/>
      <c r="DL64" s="43"/>
      <c r="DM64" s="43"/>
      <c r="DN64" s="43"/>
      <c r="DO64" s="43"/>
      <c r="DP64" s="43"/>
      <c r="DQ64" s="43"/>
      <c r="DR64" s="43"/>
      <c r="DS64" s="43"/>
      <c r="DT64" s="43"/>
      <c r="DU64" s="43"/>
      <c r="DV64" s="43"/>
      <c r="DW64" s="43"/>
      <c r="DX64" s="43"/>
      <c r="DY64" s="43"/>
      <c r="DZ64" s="43"/>
      <c r="EA64" s="43"/>
      <c r="EB64" s="43"/>
      <c r="EC64" s="43"/>
      <c r="ED64" s="43"/>
      <c r="EE64" s="43"/>
      <c r="EF64" s="43"/>
      <c r="EG64" s="43"/>
      <c r="EH64" s="43"/>
      <c r="EI64" s="43"/>
      <c r="EJ64" s="43"/>
      <c r="EK64" s="43"/>
      <c r="EL64" s="43"/>
      <c r="EM64" s="43"/>
      <c r="EN64" s="43"/>
      <c r="EO64" s="43"/>
      <c r="EP64" s="43"/>
      <c r="EQ64" s="43"/>
      <c r="ER64" s="43"/>
      <c r="ES64" s="43"/>
      <c r="ET64" s="43"/>
      <c r="EU64" s="43"/>
      <c r="EV64" s="43"/>
      <c r="EW64" s="43"/>
      <c r="EX64" s="43"/>
      <c r="EY64" s="43"/>
      <c r="EZ64" s="43"/>
      <c r="FA64" s="43"/>
    </row>
    <row r="65" spans="1:157" ht="139.15" customHeight="1">
      <c r="A65" s="36" t="s">
        <v>107</v>
      </c>
      <c r="B65" s="417" t="s">
        <v>55</v>
      </c>
      <c r="C65" s="134" t="str">
        <f>IF(E190="Exhaust Air Heat Pump",
IF(LEFT(B65,7)&lt;&gt;"Exhaust","Warning: Type of heat pump selected here and in DEAPEntries tab do not match. 
Check entries",""),
IF(LEFT(B65,7)="Exhaust","Warning: Type of heat pump selected here and in DEAPEntries tab do not match. 
Check entries",""))</f>
        <v/>
      </c>
      <c r="D65" s="773" t="s">
        <v>426</v>
      </c>
      <c r="E65" s="773"/>
      <c r="F65" s="773"/>
      <c r="G65" s="121">
        <f>IF(G63=$Q$2,$X$2,$X$3)</f>
        <v>2.08</v>
      </c>
      <c r="H65" s="45"/>
      <c r="I65" s="41"/>
      <c r="J65" s="44"/>
      <c r="K65" s="41"/>
      <c r="L65" s="41"/>
      <c r="M65" s="41"/>
      <c r="N65" s="43"/>
      <c r="O65" s="43"/>
      <c r="P65" s="43"/>
      <c r="Q65" s="43"/>
      <c r="R65" s="43"/>
      <c r="S65" s="43"/>
      <c r="T65" s="43"/>
      <c r="U65" s="43"/>
      <c r="V65" s="43"/>
      <c r="W65" s="43" t="s">
        <v>103</v>
      </c>
      <c r="X65" s="43">
        <v>1.1000000000000001</v>
      </c>
      <c r="Y65" s="43"/>
      <c r="Z65" s="43"/>
      <c r="AA65" s="43"/>
      <c r="AB65" s="43"/>
      <c r="AC65" s="43"/>
      <c r="AD65" s="43"/>
      <c r="AE65" s="43"/>
      <c r="AF65" s="43"/>
      <c r="AG65" s="43"/>
      <c r="AH65" s="43"/>
      <c r="AI65" s="43"/>
      <c r="AJ65" s="43"/>
      <c r="AK65" s="43"/>
      <c r="AL65" s="39" t="s">
        <v>104</v>
      </c>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43"/>
      <c r="CY65" s="43"/>
      <c r="CZ65" s="43"/>
      <c r="DA65" s="43"/>
      <c r="DB65" s="43"/>
      <c r="DC65" s="43"/>
      <c r="DD65" s="43"/>
      <c r="DE65" s="43"/>
      <c r="DF65" s="43"/>
      <c r="DG65" s="43"/>
      <c r="DH65" s="43"/>
      <c r="DI65" s="43"/>
      <c r="DJ65" s="43"/>
      <c r="DK65" s="43"/>
      <c r="DL65" s="43"/>
      <c r="DM65" s="43"/>
      <c r="DN65" s="43"/>
      <c r="DO65" s="43"/>
      <c r="DP65" s="43"/>
      <c r="DQ65" s="43"/>
      <c r="DR65" s="43"/>
      <c r="DS65" s="43"/>
      <c r="DT65" s="43"/>
      <c r="DU65" s="43"/>
      <c r="DV65" s="43"/>
      <c r="DW65" s="43"/>
      <c r="DX65" s="43"/>
      <c r="DY65" s="43"/>
      <c r="DZ65" s="43"/>
      <c r="EA65" s="43"/>
      <c r="EB65" s="43"/>
      <c r="EC65" s="43"/>
      <c r="ED65" s="43"/>
      <c r="EE65" s="43"/>
      <c r="EF65" s="43"/>
      <c r="EG65" s="43"/>
      <c r="EH65" s="43"/>
      <c r="EI65" s="43"/>
      <c r="EJ65" s="43"/>
      <c r="EK65" s="43"/>
      <c r="EL65" s="43"/>
      <c r="EM65" s="43"/>
      <c r="EN65" s="43"/>
      <c r="EO65" s="43"/>
      <c r="EP65" s="43"/>
      <c r="EQ65" s="43"/>
      <c r="ER65" s="43"/>
      <c r="ES65" s="43"/>
      <c r="ET65" s="43"/>
      <c r="EU65" s="43"/>
      <c r="EV65" s="43"/>
      <c r="EW65" s="43"/>
      <c r="EX65" s="43"/>
      <c r="EY65" s="43"/>
      <c r="EZ65" s="43"/>
      <c r="FA65" s="43"/>
    </row>
    <row r="66" spans="1:157" ht="147.6" customHeight="1" thickBot="1">
      <c r="A66" s="36" t="s">
        <v>109</v>
      </c>
      <c r="B66" s="417" t="s">
        <v>57</v>
      </c>
      <c r="C66" s="262" t="str">
        <f>IF($N$12,IF(B65&amp;B66&amp;G63&amp;G64&lt;&gt;B12&amp;B13&amp;G11&amp;G12,"Warning: heat pump type; temperature control; fuel; ecodesign applicability should be the same for space and water heating",""),"")</f>
        <v/>
      </c>
      <c r="D66" s="750" t="s">
        <v>110</v>
      </c>
      <c r="E66" s="750"/>
      <c r="F66" s="750"/>
      <c r="G66" s="256" t="s">
        <v>477</v>
      </c>
      <c r="H66" s="45"/>
      <c r="I66" s="41"/>
      <c r="J66" s="44"/>
      <c r="K66" s="41"/>
      <c r="L66" s="41"/>
      <c r="M66" s="41"/>
      <c r="N66" s="43"/>
      <c r="O66" s="43"/>
      <c r="P66" s="43"/>
      <c r="Q66" s="43"/>
      <c r="R66" s="43"/>
      <c r="S66" s="43"/>
      <c r="T66" s="43"/>
      <c r="U66" s="43"/>
      <c r="V66" s="43"/>
      <c r="W66" s="43" t="s">
        <v>106</v>
      </c>
      <c r="X66" s="43">
        <v>1.1000000000000001</v>
      </c>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3"/>
      <c r="DD66" s="43"/>
      <c r="DE66" s="43"/>
      <c r="DF66" s="43"/>
      <c r="DG66" s="43"/>
      <c r="DH66" s="43"/>
      <c r="DI66" s="43"/>
      <c r="DJ66" s="43"/>
      <c r="DK66" s="43"/>
      <c r="DL66" s="43"/>
      <c r="DM66" s="43"/>
      <c r="DN66" s="43"/>
      <c r="DO66" s="43"/>
      <c r="DP66" s="43"/>
      <c r="DQ66" s="43"/>
      <c r="DR66" s="43"/>
      <c r="DS66" s="43"/>
      <c r="DT66" s="43"/>
      <c r="DU66" s="43"/>
      <c r="DV66" s="43"/>
      <c r="DW66" s="43"/>
      <c r="DX66" s="43"/>
      <c r="DY66" s="43"/>
      <c r="DZ66" s="43"/>
      <c r="EA66" s="43"/>
      <c r="EB66" s="43"/>
      <c r="EC66" s="43"/>
      <c r="ED66" s="43"/>
      <c r="EE66" s="43"/>
      <c r="EF66" s="43"/>
      <c r="EG66" s="43"/>
      <c r="EH66" s="43"/>
      <c r="EI66" s="43"/>
      <c r="EJ66" s="43"/>
      <c r="EK66" s="43"/>
      <c r="EL66" s="43"/>
      <c r="EM66" s="43"/>
      <c r="EN66" s="43"/>
      <c r="EO66" s="43"/>
      <c r="EP66" s="43"/>
      <c r="EQ66" s="43"/>
      <c r="ER66" s="43"/>
      <c r="ES66" s="43"/>
      <c r="ET66" s="43"/>
      <c r="EU66" s="43"/>
      <c r="EV66" s="43"/>
      <c r="EW66" s="43"/>
      <c r="EX66" s="43"/>
      <c r="EY66" s="43"/>
      <c r="EZ66" s="43"/>
      <c r="FA66" s="43"/>
    </row>
    <row r="67" spans="1:157" ht="44.25" customHeight="1">
      <c r="A67" s="36" t="s">
        <v>347</v>
      </c>
      <c r="B67" s="417" t="s">
        <v>348</v>
      </c>
      <c r="D67" s="733" t="s">
        <v>154</v>
      </c>
      <c r="E67" s="733"/>
      <c r="F67" s="733"/>
      <c r="G67" s="256" t="str">
        <f ca="1">A232&amp;E232</f>
        <v>Heat pump type:Air to Water</v>
      </c>
      <c r="H67" s="45"/>
      <c r="I67" s="460" t="s">
        <v>487</v>
      </c>
      <c r="J67" s="461" t="s">
        <v>492</v>
      </c>
      <c r="K67" s="41"/>
      <c r="L67" s="41"/>
      <c r="M67" s="41"/>
      <c r="N67" s="43"/>
      <c r="O67" s="43"/>
      <c r="P67" s="43"/>
      <c r="Q67" s="43"/>
      <c r="R67" s="43"/>
      <c r="S67" s="43"/>
      <c r="T67" s="43"/>
      <c r="U67" s="43"/>
      <c r="V67" s="43"/>
      <c r="W67" s="43" t="s">
        <v>108</v>
      </c>
      <c r="X67" s="43">
        <v>1.1000000000000001</v>
      </c>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3"/>
      <c r="DD67" s="43"/>
      <c r="DE67" s="43"/>
      <c r="DF67" s="43"/>
      <c r="DG67" s="43"/>
      <c r="DH67" s="43"/>
      <c r="DI67" s="43"/>
      <c r="DJ67" s="43"/>
      <c r="DK67" s="43"/>
      <c r="DL67" s="43"/>
      <c r="DM67" s="43"/>
      <c r="DN67" s="43"/>
      <c r="DO67" s="43"/>
      <c r="DP67" s="43"/>
      <c r="DQ67" s="43"/>
      <c r="DR67" s="43"/>
      <c r="DS67" s="43"/>
      <c r="DT67" s="43"/>
      <c r="DU67" s="43"/>
      <c r="DV67" s="43"/>
      <c r="DW67" s="43"/>
      <c r="DX67" s="43"/>
      <c r="DY67" s="43"/>
      <c r="DZ67" s="43"/>
      <c r="EA67" s="43"/>
      <c r="EB67" s="43"/>
      <c r="EC67" s="43"/>
      <c r="ED67" s="43"/>
      <c r="EE67" s="43"/>
      <c r="EF67" s="43"/>
      <c r="EG67" s="43"/>
      <c r="EH67" s="43"/>
      <c r="EI67" s="43"/>
      <c r="EJ67" s="43"/>
      <c r="EK67" s="43"/>
      <c r="EL67" s="43"/>
      <c r="EM67" s="43"/>
      <c r="EN67" s="43"/>
      <c r="EO67" s="43"/>
      <c r="EP67" s="43"/>
      <c r="EQ67" s="43"/>
      <c r="ER67" s="43"/>
      <c r="ES67" s="43"/>
      <c r="ET67" s="43"/>
      <c r="EU67" s="43"/>
      <c r="EV67" s="43"/>
      <c r="EW67" s="43"/>
      <c r="EX67" s="43"/>
      <c r="EY67" s="43"/>
      <c r="EZ67" s="43"/>
      <c r="FA67" s="43"/>
    </row>
    <row r="68" spans="1:157" ht="133.15" customHeight="1" thickBot="1">
      <c r="A68" s="36" t="s">
        <v>155</v>
      </c>
      <c r="B68" s="418" t="s">
        <v>81</v>
      </c>
      <c r="D68" s="746" t="str">
        <f ca="1">IF(OR(N11&lt;&gt;TRUE,ISNUMBER(SEARCH($B68,E235))),
"",
"ERROR: Check the option selected for water heating standard. Valid option(s) for this heat pump type as follows: "&amp;CHAR(10)&amp;E235)</f>
        <v/>
      </c>
      <c r="E68" s="746"/>
      <c r="F68" s="746"/>
      <c r="G68" s="256" t="str">
        <f ca="1">A233&amp;E233</f>
        <v>Electric or GAHP:Electricity</v>
      </c>
      <c r="H68" s="45"/>
      <c r="I68" s="462">
        <f>IF($B$68&lt;&gt;"I.S. EN 14825/14511",1,1-($B$72-J68)/($B$72-$B$71))</f>
        <v>1</v>
      </c>
      <c r="J68" s="463">
        <f>MIN($B$84,IF($B$67="Same Heat Pump providing Space Heating and Domestic Hot Water",$B$25,1000))</f>
        <v>0</v>
      </c>
      <c r="K68" s="41"/>
      <c r="L68" s="41"/>
      <c r="M68" s="41"/>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3"/>
      <c r="DD68" s="43"/>
      <c r="DE68" s="43"/>
      <c r="DF68" s="43"/>
      <c r="DG68" s="43"/>
      <c r="DH68" s="43"/>
      <c r="DI68" s="43"/>
      <c r="DJ68" s="43"/>
      <c r="DK68" s="43"/>
      <c r="DL68" s="43"/>
      <c r="DM68" s="43"/>
      <c r="DN68" s="43"/>
      <c r="DO68" s="43"/>
      <c r="DP68" s="43"/>
      <c r="DQ68" s="43"/>
      <c r="DR68" s="43"/>
      <c r="DS68" s="43"/>
      <c r="DT68" s="43"/>
      <c r="DU68" s="43"/>
      <c r="DV68" s="43"/>
      <c r="DW68" s="43"/>
      <c r="DX68" s="43"/>
      <c r="DY68" s="43"/>
      <c r="DZ68" s="43"/>
      <c r="EA68" s="43"/>
      <c r="EB68" s="43"/>
      <c r="EC68" s="43"/>
      <c r="ED68" s="43"/>
      <c r="EE68" s="43"/>
      <c r="EF68" s="43"/>
      <c r="EG68" s="43"/>
      <c r="EH68" s="43"/>
      <c r="EI68" s="43"/>
      <c r="EJ68" s="43"/>
      <c r="EK68" s="43"/>
      <c r="EL68" s="43"/>
      <c r="EM68" s="43"/>
      <c r="EN68" s="43"/>
      <c r="EO68" s="43"/>
      <c r="EP68" s="43"/>
      <c r="EQ68" s="43"/>
      <c r="ER68" s="43"/>
      <c r="ES68" s="43"/>
      <c r="ET68" s="43"/>
      <c r="EU68" s="43"/>
      <c r="EV68" s="43"/>
      <c r="EW68" s="43"/>
      <c r="EX68" s="43"/>
      <c r="EY68" s="43"/>
      <c r="EZ68" s="43"/>
      <c r="FA68" s="43"/>
    </row>
    <row r="69" spans="1:157" ht="87" customHeight="1">
      <c r="A69" s="59" t="s">
        <v>545</v>
      </c>
      <c r="B69" s="421">
        <f>IF(B5="Yes",(1-DEAPEntries!B8)*DEAPEntries!B9*E192/DEAPEntries!I10,
                        (1-DEAPEntries!B8)*DEAPEntries!B9*E192)</f>
        <v>0</v>
      </c>
      <c r="C69" s="458" t="s">
        <v>42</v>
      </c>
      <c r="D69" s="741" t="s">
        <v>156</v>
      </c>
      <c r="E69" s="741"/>
      <c r="F69" s="741"/>
      <c r="G69" s="256" t="str">
        <f ca="1">A234&amp;E234</f>
        <v>Ecodesign based stds:Ecodesign applies and/or ecodesign data available</v>
      </c>
      <c r="H69" s="45"/>
      <c r="I69" s="44"/>
      <c r="J69" s="44"/>
      <c r="K69" s="41"/>
      <c r="L69" s="41"/>
      <c r="M69" s="41"/>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c r="CS69" s="43"/>
      <c r="CT69" s="43"/>
      <c r="CU69" s="43"/>
      <c r="CV69" s="43"/>
      <c r="CW69" s="43"/>
      <c r="CX69" s="43"/>
      <c r="CY69" s="43"/>
      <c r="CZ69" s="43"/>
      <c r="DA69" s="43"/>
      <c r="DB69" s="43"/>
      <c r="DC69" s="43"/>
      <c r="DD69" s="43"/>
      <c r="DE69" s="43"/>
      <c r="DF69" s="43"/>
      <c r="DG69" s="43"/>
      <c r="DH69" s="43"/>
      <c r="DI69" s="43"/>
      <c r="DJ69" s="43"/>
      <c r="DK69" s="43"/>
      <c r="DL69" s="43"/>
      <c r="DM69" s="43"/>
      <c r="DN69" s="43"/>
      <c r="DO69" s="43"/>
      <c r="DP69" s="43"/>
      <c r="DQ69" s="43"/>
      <c r="DR69" s="43"/>
      <c r="DS69" s="43"/>
      <c r="DT69" s="43"/>
      <c r="DU69" s="43"/>
      <c r="DV69" s="43"/>
      <c r="DW69" s="43"/>
      <c r="DX69" s="43"/>
      <c r="DY69" s="43"/>
      <c r="DZ69" s="43"/>
      <c r="EA69" s="43"/>
      <c r="EB69" s="43"/>
      <c r="EC69" s="43"/>
      <c r="ED69" s="43"/>
      <c r="EE69" s="43"/>
      <c r="EF69" s="43"/>
      <c r="EG69" s="43"/>
      <c r="EH69" s="43"/>
      <c r="EI69" s="43"/>
      <c r="EJ69" s="43"/>
      <c r="EK69" s="43"/>
      <c r="EL69" s="43"/>
      <c r="EM69" s="43"/>
      <c r="EN69" s="43"/>
      <c r="EO69" s="43"/>
      <c r="EP69" s="43"/>
      <c r="EQ69" s="43"/>
      <c r="ER69" s="43"/>
      <c r="ES69" s="43"/>
      <c r="ET69" s="43"/>
      <c r="EU69" s="43"/>
      <c r="EV69" s="43"/>
      <c r="EW69" s="43"/>
      <c r="EX69" s="43"/>
      <c r="EY69" s="43"/>
      <c r="EZ69" s="43"/>
      <c r="FA69" s="43"/>
    </row>
    <row r="70" spans="1:157" ht="30.75" customHeight="1">
      <c r="A70" s="60" t="s">
        <v>157</v>
      </c>
      <c r="B70" s="417" t="s">
        <v>77</v>
      </c>
      <c r="C70" s="458"/>
      <c r="D70" s="741" t="s">
        <v>158</v>
      </c>
      <c r="E70" s="741"/>
      <c r="F70" s="741"/>
      <c r="G70" s="257"/>
      <c r="H70" s="45"/>
      <c r="I70" s="41"/>
      <c r="J70" s="58"/>
      <c r="K70" s="57"/>
      <c r="L70" s="57"/>
      <c r="M70" s="57"/>
      <c r="O70" s="53"/>
      <c r="P70" s="43"/>
    </row>
    <row r="71" spans="1:157" ht="31.5" customHeight="1">
      <c r="A71" s="62" t="s">
        <v>159</v>
      </c>
      <c r="B71" s="480">
        <v>10</v>
      </c>
      <c r="C71" s="459" t="s">
        <v>113</v>
      </c>
      <c r="D71" s="741" t="s">
        <v>160</v>
      </c>
      <c r="E71" s="741"/>
      <c r="F71" s="741"/>
      <c r="G71" s="62"/>
      <c r="H71" s="56"/>
      <c r="I71" s="61"/>
      <c r="J71" s="58"/>
      <c r="K71" s="57"/>
      <c r="L71" s="57"/>
      <c r="M71" s="57"/>
      <c r="O71" s="43"/>
      <c r="P71" s="43"/>
    </row>
    <row r="72" spans="1:157" ht="31.5" customHeight="1">
      <c r="A72" s="62" t="s">
        <v>161</v>
      </c>
      <c r="B72" s="430">
        <f>IF(OR(B70="No Hot Water Store",B70="Integral Hot Water Storage"),60,65)</f>
        <v>65</v>
      </c>
      <c r="C72" s="459" t="s">
        <v>113</v>
      </c>
      <c r="D72" s="741" t="s">
        <v>162</v>
      </c>
      <c r="E72" s="741"/>
      <c r="F72" s="741"/>
      <c r="G72" s="62"/>
      <c r="H72" s="56" t="s">
        <v>1</v>
      </c>
      <c r="I72" s="57"/>
      <c r="J72" s="58"/>
      <c r="K72" s="41"/>
      <c r="L72" s="41"/>
      <c r="M72" s="41"/>
      <c r="O72" s="43"/>
      <c r="P72" s="43"/>
      <c r="U72" s="65"/>
      <c r="V72" s="65"/>
      <c r="W72" s="65"/>
    </row>
    <row r="73" spans="1:157" ht="31.5" customHeight="1">
      <c r="A73" s="60" t="s">
        <v>163</v>
      </c>
      <c r="B73" s="481">
        <f>DEAPEntries!B12</f>
        <v>0</v>
      </c>
      <c r="C73" s="458" t="str">
        <f>DEAPEntries!E12</f>
        <v>litres</v>
      </c>
      <c r="D73" s="741" t="str">
        <f>DEAPEntries!F12</f>
        <v>Sourced from DEAP: Water Heating: options and storage (or WH tab in DEAP workbook)</v>
      </c>
      <c r="E73" s="741">
        <f>DEAPEntries!G12</f>
        <v>0</v>
      </c>
      <c r="F73" s="741">
        <f>DEAPEntries!H12</f>
        <v>0</v>
      </c>
      <c r="H73" s="56"/>
      <c r="I73" s="57"/>
      <c r="J73" s="58"/>
      <c r="K73" s="57"/>
      <c r="L73" s="57"/>
      <c r="M73" s="57"/>
      <c r="N73" s="53"/>
      <c r="O73" s="43"/>
      <c r="P73" s="4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row>
    <row r="74" spans="1:157" ht="30" customHeight="1">
      <c r="A74" s="64" t="s">
        <v>164</v>
      </c>
      <c r="B74" s="432" t="s">
        <v>38</v>
      </c>
      <c r="D74" s="733" t="s">
        <v>139</v>
      </c>
      <c r="E74" s="733"/>
      <c r="F74" s="733"/>
      <c r="H74" s="56"/>
      <c r="I74" s="57"/>
      <c r="J74" s="58"/>
      <c r="K74" s="41"/>
      <c r="L74" s="41"/>
      <c r="M74" s="41"/>
    </row>
    <row r="75" spans="1:157" ht="30" customHeight="1">
      <c r="A75" s="60" t="s">
        <v>165</v>
      </c>
      <c r="B75" s="429" t="s">
        <v>44</v>
      </c>
      <c r="D75" s="733" t="s">
        <v>139</v>
      </c>
      <c r="E75" s="733"/>
      <c r="F75" s="733"/>
      <c r="H75" s="56"/>
      <c r="I75" s="57"/>
      <c r="J75" s="58"/>
      <c r="K75" s="41"/>
      <c r="L75" s="41"/>
      <c r="M75" s="41"/>
    </row>
    <row r="76" spans="1:157" ht="30" customHeight="1">
      <c r="A76" s="60" t="s">
        <v>166</v>
      </c>
      <c r="B76" s="430">
        <f>VLOOKUP(B75,W2:X12,2,)</f>
        <v>2.08</v>
      </c>
      <c r="H76" s="56"/>
      <c r="I76" s="57"/>
      <c r="J76" s="58"/>
      <c r="K76" s="57"/>
      <c r="L76" s="57"/>
      <c r="M76" s="57"/>
      <c r="O76" s="53"/>
      <c r="P76" s="43"/>
      <c r="U76" s="53"/>
      <c r="V76" s="53"/>
      <c r="W76" s="53"/>
    </row>
    <row r="77" spans="1:157" ht="83.25" customHeight="1">
      <c r="A77" s="62" t="s">
        <v>167</v>
      </c>
      <c r="B77" s="434"/>
      <c r="C77" s="458" t="s">
        <v>92</v>
      </c>
      <c r="D77" s="733" t="s">
        <v>143</v>
      </c>
      <c r="E77" s="733"/>
      <c r="F77" s="733"/>
      <c r="H77" s="56"/>
      <c r="I77" s="57"/>
      <c r="J77" s="58"/>
      <c r="K77" s="57"/>
      <c r="L77" s="57"/>
      <c r="M77" s="57"/>
      <c r="N77" s="53"/>
      <c r="O77" s="53"/>
      <c r="P77" s="4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row>
    <row r="78" spans="1:157" s="53" customFormat="1" ht="29.25" customHeight="1">
      <c r="A78" s="64" t="s">
        <v>427</v>
      </c>
      <c r="B78" s="433">
        <f>IF(B74="Yes",(G65/B76)*B77,1)</f>
        <v>1</v>
      </c>
      <c r="D78" s="35"/>
      <c r="E78" s="35"/>
      <c r="F78" s="35"/>
      <c r="H78" s="56"/>
      <c r="I78" s="57"/>
      <c r="J78" s="58"/>
      <c r="K78" s="41"/>
      <c r="L78" s="41"/>
      <c r="M78" s="41"/>
      <c r="P78" s="43"/>
      <c r="U78" s="34"/>
      <c r="V78" s="34"/>
      <c r="W78" s="34"/>
    </row>
    <row r="79" spans="1:157" ht="31.5" customHeight="1">
      <c r="A79" s="67"/>
      <c r="B79" s="68"/>
      <c r="C79" s="67"/>
      <c r="D79" s="35"/>
      <c r="E79" s="35"/>
      <c r="F79" s="35"/>
      <c r="G79" s="53"/>
      <c r="H79" s="56"/>
      <c r="I79" s="57"/>
      <c r="J79" s="58"/>
      <c r="K79" s="57"/>
      <c r="L79" s="57"/>
      <c r="M79" s="57"/>
      <c r="O79" s="43"/>
      <c r="P79" s="43"/>
    </row>
    <row r="80" spans="1:157" ht="57.6" customHeight="1" thickBot="1">
      <c r="A80" s="192" t="s">
        <v>619</v>
      </c>
      <c r="D80" s="772"/>
      <c r="E80" s="772"/>
      <c r="F80" s="772"/>
      <c r="G80" s="772"/>
      <c r="H80" s="56"/>
      <c r="I80" s="57"/>
      <c r="J80" s="91"/>
      <c r="K80" s="88"/>
      <c r="L80" s="88"/>
      <c r="M80" s="88"/>
      <c r="N80" s="43"/>
      <c r="O80" s="43"/>
      <c r="P80" s="43"/>
      <c r="Q80" s="43"/>
      <c r="R80" s="43"/>
      <c r="S80" s="43"/>
      <c r="T80" s="43"/>
      <c r="U80" s="53"/>
    </row>
    <row r="81" spans="1:21" ht="30.75" customHeight="1">
      <c r="A81" s="482" t="s">
        <v>168</v>
      </c>
      <c r="B81" s="471" t="s">
        <v>463</v>
      </c>
      <c r="C81" s="472" t="s">
        <v>1</v>
      </c>
      <c r="D81" s="735" t="s">
        <v>428</v>
      </c>
      <c r="E81" s="735"/>
      <c r="F81" s="735"/>
      <c r="H81" s="56"/>
      <c r="I81" s="57"/>
      <c r="J81" s="87"/>
      <c r="K81" s="83"/>
      <c r="L81" s="83"/>
      <c r="M81" s="83"/>
      <c r="N81" s="43"/>
      <c r="O81" s="43"/>
      <c r="P81" s="43"/>
      <c r="Q81" s="43"/>
      <c r="R81" s="43"/>
      <c r="S81" s="43"/>
      <c r="T81" s="43"/>
      <c r="U81" s="43"/>
    </row>
    <row r="82" spans="1:21" ht="30.75" customHeight="1">
      <c r="A82" s="465" t="str">
        <f>B81</f>
        <v>Water heating energy efficiency, ηwh</v>
      </c>
      <c r="B82" s="473"/>
      <c r="C82" s="472" t="str">
        <f>IF(B81="Coefficient of Performance, COP","kW/kW","%")</f>
        <v>%</v>
      </c>
      <c r="D82" s="735" t="s">
        <v>428</v>
      </c>
      <c r="E82" s="735"/>
      <c r="F82" s="735"/>
      <c r="H82" s="56"/>
      <c r="I82" s="57"/>
      <c r="J82" s="89"/>
      <c r="K82" s="81"/>
      <c r="L82" s="81"/>
      <c r="M82" s="81"/>
      <c r="N82" s="43"/>
      <c r="O82" s="43"/>
      <c r="P82" s="43"/>
      <c r="Q82" s="43"/>
      <c r="R82" s="43"/>
      <c r="S82" s="43"/>
      <c r="T82" s="43"/>
      <c r="U82" s="43"/>
    </row>
    <row r="83" spans="1:21" ht="30.75" customHeight="1">
      <c r="A83" s="465" t="s">
        <v>169</v>
      </c>
      <c r="B83" s="474">
        <f>IF(B81="Coefficient of Performance, COP",B82,IF(G63=Q3,B82/100,B82*2.5/100))</f>
        <v>0</v>
      </c>
      <c r="C83" s="472" t="s">
        <v>170</v>
      </c>
      <c r="D83" s="475"/>
      <c r="E83" s="475"/>
      <c r="F83" s="475"/>
      <c r="H83" s="56"/>
      <c r="I83" s="57"/>
      <c r="J83" s="91"/>
      <c r="K83" s="88"/>
      <c r="L83" s="88"/>
      <c r="M83" s="88"/>
      <c r="N83" s="43"/>
      <c r="O83" s="43"/>
      <c r="P83" s="43"/>
      <c r="Q83" s="43"/>
      <c r="R83" s="43"/>
      <c r="S83" s="43"/>
      <c r="T83" s="43"/>
      <c r="U83" s="43"/>
    </row>
    <row r="84" spans="1:21" ht="98.45" customHeight="1">
      <c r="A84" s="465" t="s">
        <v>171</v>
      </c>
      <c r="B84" s="473"/>
      <c r="C84" s="476" t="s">
        <v>113</v>
      </c>
      <c r="D84" s="735" t="s">
        <v>429</v>
      </c>
      <c r="E84" s="735"/>
      <c r="F84" s="735"/>
      <c r="G84" s="134" t="str">
        <f>IF(AND(B84&gt;=52,B67="Same Heat Pump providing Space Heating and Domestic Hot Water",G10="Low temperature heat pump"),"WARNING:Where I.S. EN 14825/14511 is the water heating test standard, the low temperature heat pump may be used to provide DHW, however, hot water temperature must not exceed 52 degrees in this case. ",".")</f>
        <v>.</v>
      </c>
      <c r="H84" s="56"/>
      <c r="I84" s="57"/>
      <c r="J84" s="91"/>
      <c r="K84" s="88"/>
      <c r="L84" s="88"/>
      <c r="M84" s="88"/>
      <c r="N84" s="43"/>
      <c r="O84" s="43"/>
      <c r="P84" s="43"/>
      <c r="Q84" s="43"/>
      <c r="R84" s="43"/>
      <c r="S84" s="43"/>
      <c r="T84" s="43"/>
      <c r="U84" s="53"/>
    </row>
    <row r="85" spans="1:21" ht="64.900000000000006" customHeight="1">
      <c r="A85" s="465" t="s">
        <v>172</v>
      </c>
      <c r="B85" s="477">
        <f>IF(B65=S1,7,IF(B65=S3,10,IF(B65=S4,20,IF(B65=S5,4,0))))</f>
        <v>7</v>
      </c>
      <c r="C85" s="476" t="s">
        <v>113</v>
      </c>
      <c r="D85" s="735" t="s">
        <v>430</v>
      </c>
      <c r="E85" s="735"/>
      <c r="F85" s="735"/>
      <c r="G85" s="134"/>
      <c r="H85" s="56"/>
      <c r="I85" s="57"/>
      <c r="J85" s="91"/>
      <c r="K85" s="88"/>
      <c r="L85" s="88"/>
      <c r="M85" s="88"/>
      <c r="N85" s="43"/>
      <c r="O85" s="43"/>
      <c r="P85" s="43"/>
      <c r="Q85" s="43"/>
      <c r="R85" s="43"/>
      <c r="S85" s="43"/>
      <c r="T85" s="43"/>
      <c r="U85" s="53"/>
    </row>
    <row r="86" spans="1:21" ht="30.75" customHeight="1">
      <c r="A86" s="465" t="s">
        <v>173</v>
      </c>
      <c r="B86" s="473"/>
      <c r="C86" s="472" t="s">
        <v>174</v>
      </c>
      <c r="D86" s="735" t="s">
        <v>431</v>
      </c>
      <c r="E86" s="735"/>
      <c r="F86" s="735"/>
      <c r="H86" s="56"/>
      <c r="I86" s="57"/>
      <c r="J86" s="87"/>
      <c r="K86" s="83"/>
      <c r="L86" s="83"/>
      <c r="M86" s="83"/>
      <c r="N86" s="43"/>
      <c r="O86" s="43"/>
      <c r="P86" s="43"/>
      <c r="Q86" s="43"/>
      <c r="R86" s="43"/>
      <c r="S86" s="43"/>
      <c r="T86" s="53"/>
      <c r="U86" s="43"/>
    </row>
    <row r="87" spans="1:21" ht="44.45" customHeight="1">
      <c r="A87" s="468" t="s">
        <v>175</v>
      </c>
      <c r="B87" s="478" t="s">
        <v>91</v>
      </c>
      <c r="C87" s="472"/>
      <c r="D87" s="735" t="s">
        <v>431</v>
      </c>
      <c r="E87" s="735"/>
      <c r="F87" s="735"/>
      <c r="G87" s="134" t="str">
        <f>IF(AND(B87&lt;&gt;"",$B$68="I.S. EN 14825/14511"),"Note: 'load profile', 'standby heat loss' and 'volume of DHW accounted for in test' are irrelevant for test data based on I.S. EN 14825/14511.","")</f>
        <v/>
      </c>
      <c r="H87" s="56"/>
      <c r="I87" s="57"/>
      <c r="J87" s="89"/>
      <c r="K87" s="81"/>
      <c r="L87" s="81"/>
      <c r="M87" s="81"/>
      <c r="N87" s="43"/>
      <c r="O87" s="43"/>
      <c r="P87" s="43"/>
      <c r="Q87" s="43"/>
      <c r="R87" s="43"/>
      <c r="S87" s="43"/>
      <c r="T87" s="53"/>
      <c r="U87" s="53"/>
    </row>
    <row r="88" spans="1:21" ht="45.6" customHeight="1">
      <c r="A88" s="468" t="s">
        <v>176</v>
      </c>
      <c r="B88" s="478"/>
      <c r="C88" s="472" t="s">
        <v>177</v>
      </c>
      <c r="D88" s="735" t="s">
        <v>432</v>
      </c>
      <c r="E88" s="735"/>
      <c r="F88" s="735"/>
      <c r="G88" s="134" t="str">
        <f>IF(AND(B88&lt;&gt;"",$B$68="I.S. EN 14825/14511"),"Note: 'load profile', 'standby heat loss' and 'volume of DHW accounted for in test' are irrelevant for test data based on I.S. EN 14825/14511.","")</f>
        <v/>
      </c>
      <c r="H88" s="56"/>
      <c r="I88" s="57"/>
      <c r="J88" s="91"/>
      <c r="K88" s="57"/>
      <c r="L88" s="57"/>
      <c r="M88" s="57"/>
      <c r="N88" s="43"/>
      <c r="O88" s="43"/>
      <c r="P88" s="43"/>
      <c r="Q88" s="43"/>
      <c r="R88" s="43"/>
      <c r="S88" s="43"/>
      <c r="T88" s="53"/>
      <c r="U88" s="53"/>
    </row>
    <row r="89" spans="1:21" ht="54.6" customHeight="1" thickBot="1">
      <c r="A89" s="469" t="s">
        <v>178</v>
      </c>
      <c r="B89" s="479"/>
      <c r="C89" s="472" t="s">
        <v>179</v>
      </c>
      <c r="D89" s="735" t="s">
        <v>428</v>
      </c>
      <c r="E89" s="735"/>
      <c r="F89" s="735"/>
      <c r="G89" s="134" t="str">
        <f>IF(AND(B89&lt;&gt;"",$B$68="I.S. EN 14825/14511"),"Note: 'load profile', 'standby heat loss' and 'volume of DHW accounted for in test' are irrelevant for test data based on I.S. EN 14825/14511.","")</f>
        <v/>
      </c>
      <c r="H89" s="56"/>
      <c r="I89" s="57"/>
      <c r="J89" s="91"/>
      <c r="K89" s="57"/>
      <c r="L89" s="57"/>
      <c r="M89" s="57"/>
      <c r="N89" s="43"/>
      <c r="O89" s="43"/>
      <c r="P89" s="43"/>
      <c r="Q89" s="43"/>
      <c r="R89" s="43"/>
      <c r="S89" s="43"/>
      <c r="T89" s="53"/>
      <c r="U89" s="53"/>
    </row>
    <row r="90" spans="1:21" ht="48" customHeight="1">
      <c r="A90" s="564" t="s">
        <v>620</v>
      </c>
      <c r="D90" s="772" t="str">
        <f ca="1">IF(B5="Yes","NOTE: Assessor must verify that the installed storage volume is greater than used in test results",IF(E219&gt;0,E221,IF(E220&gt;0,E222,"")))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E90" s="772"/>
      <c r="F90" s="772"/>
      <c r="G90" s="772"/>
      <c r="H90" s="56"/>
      <c r="I90" s="57"/>
      <c r="J90" s="91"/>
      <c r="K90" s="41"/>
      <c r="L90" s="41"/>
      <c r="M90" s="41"/>
      <c r="N90" s="43"/>
      <c r="O90" s="43"/>
      <c r="P90" s="43"/>
      <c r="Q90" s="43"/>
      <c r="R90" s="43"/>
      <c r="S90" s="43"/>
      <c r="T90" s="53"/>
      <c r="U90" s="53"/>
    </row>
    <row r="91" spans="1:21" ht="30.75" customHeight="1" thickBot="1">
      <c r="A91" s="74" t="s">
        <v>180</v>
      </c>
      <c r="H91" s="56"/>
      <c r="I91" s="57"/>
      <c r="J91" s="85"/>
      <c r="K91" s="83"/>
      <c r="L91" s="83"/>
      <c r="M91" s="83"/>
      <c r="N91" s="43"/>
      <c r="O91" s="43"/>
      <c r="P91" s="43"/>
      <c r="Q91" s="43"/>
      <c r="R91" s="43"/>
      <c r="S91" s="43"/>
      <c r="T91" s="43"/>
      <c r="U91" s="53"/>
    </row>
    <row r="92" spans="1:21" ht="30.75" customHeight="1">
      <c r="A92" s="446" t="s">
        <v>181</v>
      </c>
      <c r="B92" s="483" t="s">
        <v>37</v>
      </c>
      <c r="C92" s="458"/>
      <c r="H92" s="56"/>
      <c r="I92" s="57"/>
      <c r="J92" s="87"/>
      <c r="K92" s="83"/>
      <c r="L92" s="83"/>
      <c r="M92" s="83"/>
      <c r="N92" s="43"/>
      <c r="O92" s="43"/>
      <c r="P92" s="43"/>
      <c r="Q92" s="43"/>
      <c r="R92" s="43"/>
      <c r="S92" s="43"/>
      <c r="T92" s="43"/>
      <c r="U92" s="53"/>
    </row>
    <row r="93" spans="1:21" ht="30.75" customHeight="1">
      <c r="A93" s="447" t="s">
        <v>182</v>
      </c>
      <c r="B93" s="466">
        <v>3.33</v>
      </c>
      <c r="C93" s="458" t="s">
        <v>170</v>
      </c>
      <c r="D93" s="733" t="s">
        <v>183</v>
      </c>
      <c r="E93" s="733"/>
      <c r="F93" s="733"/>
      <c r="H93" s="56"/>
      <c r="I93" s="57"/>
      <c r="J93" s="87"/>
      <c r="K93" s="83"/>
      <c r="L93" s="83"/>
      <c r="M93" s="83"/>
      <c r="N93" s="43"/>
      <c r="O93" s="43"/>
      <c r="P93" s="43"/>
      <c r="Q93" s="43"/>
      <c r="R93" s="43"/>
      <c r="S93" s="43"/>
      <c r="T93" s="43"/>
      <c r="U93" s="53"/>
    </row>
    <row r="94" spans="1:21" ht="30.75" customHeight="1">
      <c r="A94" s="465" t="s">
        <v>184</v>
      </c>
      <c r="B94" s="442" t="s">
        <v>37</v>
      </c>
      <c r="C94" s="458"/>
      <c r="D94" s="733" t="s">
        <v>185</v>
      </c>
      <c r="E94" s="733"/>
      <c r="F94" s="733"/>
      <c r="H94" s="56"/>
      <c r="I94" s="57"/>
      <c r="J94" s="87"/>
      <c r="K94" s="83"/>
      <c r="L94" s="83"/>
      <c r="M94" s="83"/>
      <c r="N94" s="43"/>
      <c r="O94" s="43"/>
      <c r="P94" s="43"/>
      <c r="Q94" s="43"/>
      <c r="R94" s="43"/>
      <c r="S94" s="43"/>
      <c r="T94" s="43"/>
      <c r="U94" s="43"/>
    </row>
    <row r="95" spans="1:21" ht="30.75" customHeight="1">
      <c r="A95" s="465" t="s">
        <v>186</v>
      </c>
      <c r="B95" s="442" t="s">
        <v>38</v>
      </c>
      <c r="C95" s="484" t="s">
        <v>1</v>
      </c>
      <c r="D95" s="733" t="s">
        <v>185</v>
      </c>
      <c r="E95" s="733"/>
      <c r="F95" s="733"/>
      <c r="H95" s="56"/>
      <c r="I95" s="57"/>
      <c r="J95" s="89"/>
      <c r="K95" s="81"/>
      <c r="L95" s="81"/>
      <c r="M95" s="81"/>
      <c r="N95" s="43"/>
      <c r="O95" s="43"/>
      <c r="P95" s="43"/>
      <c r="Q95" s="43"/>
      <c r="R95" s="43"/>
      <c r="S95" s="43"/>
      <c r="T95" s="43"/>
      <c r="U95" s="43"/>
    </row>
    <row r="96" spans="1:21" ht="30.75" customHeight="1" thickBot="1">
      <c r="A96" s="469" t="str">
        <f>IF(B72=65,"Does heat pump reach a flow temperature of &gt;=65oC","Does heat pump reach a flow temperature of &gt;=60oC")</f>
        <v>Does heat pump reach a flow temperature of &gt;=65oC</v>
      </c>
      <c r="B96" s="439" t="s">
        <v>37</v>
      </c>
      <c r="C96" s="484" t="s">
        <v>1</v>
      </c>
      <c r="D96" s="733" t="s">
        <v>187</v>
      </c>
      <c r="E96" s="733"/>
      <c r="F96" s="733"/>
      <c r="H96" s="56"/>
      <c r="I96" s="57"/>
      <c r="J96" s="91"/>
      <c r="K96" s="88"/>
      <c r="L96" s="88"/>
      <c r="M96" s="88"/>
      <c r="N96" s="43"/>
      <c r="O96" s="43"/>
      <c r="P96" s="43"/>
      <c r="Q96" s="43"/>
      <c r="R96" s="43"/>
      <c r="S96" s="43"/>
      <c r="T96" s="43"/>
      <c r="U96" s="53"/>
    </row>
    <row r="97" spans="1:21" ht="30.75" customHeight="1">
      <c r="H97" s="56"/>
      <c r="I97" s="57"/>
      <c r="J97" s="91"/>
      <c r="K97" s="88"/>
      <c r="L97" s="88"/>
      <c r="M97" s="88"/>
      <c r="N97" s="43"/>
      <c r="O97" s="43"/>
      <c r="P97" s="43"/>
      <c r="Q97" s="43"/>
      <c r="R97" s="43"/>
      <c r="S97" s="43"/>
      <c r="T97" s="43"/>
      <c r="U97" s="53"/>
    </row>
    <row r="98" spans="1:21" ht="33" customHeight="1">
      <c r="H98" s="56"/>
      <c r="I98" s="57"/>
      <c r="J98" s="58"/>
      <c r="K98" s="41"/>
      <c r="L98" s="41"/>
      <c r="M98" s="41"/>
      <c r="N98" s="43"/>
      <c r="O98" s="43"/>
      <c r="P98" s="43"/>
      <c r="Q98" s="43"/>
      <c r="R98" s="43"/>
      <c r="S98" s="43"/>
      <c r="T98" s="53"/>
      <c r="U98" s="53"/>
    </row>
    <row r="99" spans="1:21" ht="33" customHeight="1" thickBot="1">
      <c r="A99" s="74" t="s">
        <v>188</v>
      </c>
      <c r="H99" s="56"/>
      <c r="I99" s="57"/>
      <c r="J99" s="58"/>
      <c r="K99" s="41"/>
      <c r="L99" s="41"/>
      <c r="M99" s="41"/>
    </row>
    <row r="100" spans="1:21" ht="33" customHeight="1">
      <c r="A100" s="464" t="s">
        <v>189</v>
      </c>
      <c r="B100" s="485">
        <v>3.2</v>
      </c>
      <c r="C100" s="458" t="s">
        <v>170</v>
      </c>
      <c r="D100" s="733" t="s">
        <v>190</v>
      </c>
      <c r="E100" s="733"/>
      <c r="F100" s="733"/>
      <c r="H100" s="56"/>
      <c r="I100" s="57"/>
      <c r="J100" s="75"/>
      <c r="K100" s="57"/>
      <c r="L100" s="57"/>
      <c r="M100" s="41"/>
      <c r="N100" s="34" t="s">
        <v>1</v>
      </c>
    </row>
    <row r="101" spans="1:21" ht="37.5" customHeight="1">
      <c r="A101" s="465" t="s">
        <v>171</v>
      </c>
      <c r="B101" s="466">
        <v>54</v>
      </c>
      <c r="C101" s="459" t="s">
        <v>113</v>
      </c>
      <c r="D101" s="733" t="s">
        <v>191</v>
      </c>
      <c r="E101" s="733"/>
      <c r="F101" s="733"/>
      <c r="H101" s="56"/>
      <c r="I101" s="57"/>
      <c r="J101" s="58"/>
      <c r="K101" s="57"/>
      <c r="L101" s="57"/>
      <c r="M101" s="57"/>
      <c r="N101" s="34" t="s">
        <v>1</v>
      </c>
    </row>
    <row r="102" spans="1:21" ht="31.5" customHeight="1" thickBot="1">
      <c r="A102" s="469" t="s">
        <v>192</v>
      </c>
      <c r="B102" s="470">
        <v>7</v>
      </c>
      <c r="C102" s="458" t="s">
        <v>174</v>
      </c>
      <c r="D102" s="733" t="s">
        <v>190</v>
      </c>
      <c r="E102" s="733"/>
      <c r="F102" s="733"/>
      <c r="H102" s="56"/>
      <c r="I102" s="57"/>
      <c r="J102" s="58"/>
      <c r="K102" s="57"/>
      <c r="L102" s="57"/>
      <c r="M102" s="57"/>
    </row>
    <row r="103" spans="1:21" ht="31.5" customHeight="1" thickBot="1">
      <c r="H103" s="56"/>
      <c r="I103" s="57"/>
      <c r="J103" s="58"/>
      <c r="K103" s="57"/>
      <c r="L103" s="57"/>
      <c r="M103" s="57"/>
    </row>
    <row r="104" spans="1:21" ht="31.5" customHeight="1" thickBot="1">
      <c r="A104" s="55" t="s">
        <v>478</v>
      </c>
      <c r="B104" s="71"/>
      <c r="C104" s="71"/>
      <c r="D104" s="42"/>
      <c r="E104" s="42"/>
      <c r="F104" s="42"/>
      <c r="G104" s="42"/>
      <c r="H104" s="42"/>
      <c r="I104" s="42"/>
      <c r="J104" s="58"/>
      <c r="K104" s="57"/>
      <c r="L104" s="57"/>
      <c r="M104" s="57"/>
    </row>
    <row r="105" spans="1:21" ht="31.5" customHeight="1" thickBot="1">
      <c r="A105" s="92" t="s">
        <v>49</v>
      </c>
      <c r="H105" s="56"/>
      <c r="I105" s="57"/>
      <c r="J105" s="58"/>
      <c r="K105" s="57"/>
      <c r="L105" s="57"/>
      <c r="M105" s="57"/>
    </row>
    <row r="106" spans="1:21" ht="31.5" customHeight="1">
      <c r="A106" s="486" t="s">
        <v>193</v>
      </c>
      <c r="B106" s="487" t="e">
        <f ca="1">IF(OR(B14=N1,B14=N2, B14=N3),E201,B93)</f>
        <v>#VALUE!</v>
      </c>
      <c r="C106" s="458" t="s">
        <v>92</v>
      </c>
      <c r="D106" s="734"/>
      <c r="E106" s="734"/>
      <c r="F106" s="734"/>
      <c r="G106" s="458" t="s">
        <v>1</v>
      </c>
      <c r="H106" s="488"/>
      <c r="I106" s="489"/>
      <c r="J106" s="58"/>
      <c r="K106" s="57"/>
      <c r="L106" s="57"/>
      <c r="M106" s="57"/>
    </row>
    <row r="107" spans="1:21" ht="31.5" customHeight="1">
      <c r="A107" s="490" t="s">
        <v>194</v>
      </c>
      <c r="B107" s="491">
        <f>IF(OR(B14=N1,B14=N2, B14=N3),1,IF(B25=35,1,IF(B25&lt;50,0.85,IF(B94="Yes",0.75,0.7))))</f>
        <v>1</v>
      </c>
      <c r="C107" s="458"/>
      <c r="D107" s="734"/>
      <c r="E107" s="734"/>
      <c r="F107" s="734"/>
      <c r="G107" s="458"/>
      <c r="H107" s="488"/>
      <c r="I107" s="489"/>
      <c r="J107" s="58"/>
      <c r="K107" s="57"/>
      <c r="L107" s="57"/>
      <c r="M107" s="57"/>
    </row>
    <row r="108" spans="1:21" ht="31.5" customHeight="1">
      <c r="A108" s="490" t="s">
        <v>195</v>
      </c>
      <c r="B108" s="492" t="e">
        <f ca="1">IF(OR(B68=N5,B68=N7, B68=N8),E213,IF(B68="I.S. EN 255-3",E217,E218))</f>
        <v>#DIV/0!</v>
      </c>
      <c r="C108" s="458" t="s">
        <v>92</v>
      </c>
      <c r="D108" s="734"/>
      <c r="E108" s="734"/>
      <c r="F108" s="734"/>
      <c r="G108" s="458"/>
      <c r="H108" s="488"/>
      <c r="I108" s="489"/>
      <c r="J108" s="75"/>
      <c r="K108" s="57"/>
      <c r="L108" s="57"/>
      <c r="M108" s="57"/>
    </row>
    <row r="109" spans="1:21" ht="31.5" customHeight="1" thickBot="1">
      <c r="A109" s="493" t="s">
        <v>196</v>
      </c>
      <c r="B109" s="494">
        <f>IF(B68="I.S. EN 14511",IF(AND(B95="No",B96="Yes"),0.7,1),1)</f>
        <v>1</v>
      </c>
      <c r="C109" s="458"/>
      <c r="D109" s="734"/>
      <c r="E109" s="734"/>
      <c r="F109" s="734"/>
      <c r="G109" s="458"/>
      <c r="H109" s="488"/>
      <c r="I109" s="489"/>
      <c r="J109" s="75"/>
      <c r="K109" s="57"/>
      <c r="L109" s="57"/>
      <c r="M109" s="57"/>
    </row>
    <row r="110" spans="1:21" ht="16.5" thickBot="1">
      <c r="A110" s="458"/>
      <c r="B110" s="458"/>
      <c r="C110" s="458"/>
      <c r="D110" s="467"/>
      <c r="E110" s="467"/>
      <c r="F110" s="467"/>
      <c r="G110" s="489"/>
      <c r="H110" s="488"/>
      <c r="I110" s="489"/>
      <c r="J110" s="75"/>
      <c r="K110" s="57"/>
      <c r="L110" s="57"/>
      <c r="M110" s="57"/>
    </row>
    <row r="111" spans="1:21" ht="31.5" customHeight="1" thickBot="1">
      <c r="A111" s="495" t="s">
        <v>331</v>
      </c>
      <c r="B111" s="496">
        <f ca="1">MAX(E207,0)</f>
        <v>1</v>
      </c>
      <c r="C111" s="467" t="s">
        <v>462</v>
      </c>
      <c r="D111" s="467"/>
      <c r="E111" s="467"/>
      <c r="F111" s="467"/>
      <c r="G111" s="497" t="s">
        <v>495</v>
      </c>
      <c r="H111" s="488"/>
      <c r="I111" s="489"/>
      <c r="J111" s="75"/>
      <c r="K111" s="57"/>
      <c r="L111" s="57"/>
      <c r="M111" s="57"/>
    </row>
    <row r="112" spans="1:21" ht="36.75" customHeight="1" thickBot="1">
      <c r="A112" s="495" t="s">
        <v>332</v>
      </c>
      <c r="B112" s="496">
        <f ca="1">MAX(E216,0)</f>
        <v>1</v>
      </c>
      <c r="C112" s="467" t="s">
        <v>462</v>
      </c>
      <c r="D112" s="467"/>
      <c r="E112" s="467"/>
      <c r="F112" s="467"/>
      <c r="G112" s="498">
        <f>IF(OR(LEFT(B12,7)="Exhaust",LEFT(B65,7)="Exhaust"),E195,0)</f>
        <v>0</v>
      </c>
      <c r="H112" s="488"/>
      <c r="I112" s="489"/>
      <c r="J112" s="58"/>
      <c r="K112" s="57"/>
      <c r="L112" s="57"/>
      <c r="M112" s="57"/>
    </row>
    <row r="113" spans="1:14">
      <c r="A113" s="458"/>
      <c r="B113" s="458"/>
      <c r="C113" s="458"/>
      <c r="D113" s="467"/>
      <c r="E113" s="467"/>
      <c r="F113" s="467"/>
      <c r="G113" s="497" t="s">
        <v>497</v>
      </c>
      <c r="H113" s="488"/>
      <c r="I113" s="489"/>
      <c r="J113" s="58"/>
      <c r="K113" s="57"/>
      <c r="L113" s="57"/>
      <c r="M113" s="57"/>
    </row>
    <row r="114" spans="1:14" ht="16.5" thickBot="1">
      <c r="A114" s="458"/>
      <c r="B114" s="499"/>
      <c r="C114" s="458"/>
      <c r="D114" s="467"/>
      <c r="E114" s="467"/>
      <c r="F114" s="467"/>
      <c r="G114" s="500" t="b">
        <f>IF(E193="No",FALSE,TRUE)</f>
        <v>0</v>
      </c>
      <c r="H114" s="488"/>
      <c r="I114" s="489"/>
      <c r="J114" s="58"/>
      <c r="K114" s="57"/>
      <c r="L114" s="57"/>
      <c r="M114" s="57"/>
    </row>
    <row r="115" spans="1:14" ht="53.45" customHeight="1">
      <c r="A115" s="486" t="s">
        <v>530</v>
      </c>
      <c r="B115" s="501" t="e">
        <f ca="1">IF(B14="I.S. EN 14511",1,E203/E199)</f>
        <v>#VALUE!</v>
      </c>
      <c r="C115" s="502" t="s">
        <v>461</v>
      </c>
      <c r="D115" s="503" t="e">
        <f ca="1">IF(B14=N4,IF(B5="No",B17,B17*B8/B7),E203)</f>
        <v>#VALUE!</v>
      </c>
      <c r="E115" s="467" t="s">
        <v>572</v>
      </c>
      <c r="F115" s="504" t="e">
        <f ca="1">IF(B14="I.S. EN 14511",(B106*B107)*100,E204*100)</f>
        <v>#VALUE!</v>
      </c>
      <c r="G115" s="458"/>
      <c r="H115" s="488"/>
      <c r="I115" s="489"/>
      <c r="J115" s="58"/>
      <c r="K115" s="57"/>
      <c r="L115" s="57"/>
      <c r="M115" s="57"/>
    </row>
    <row r="116" spans="1:14" ht="45" customHeight="1" thickBot="1">
      <c r="A116" s="493" t="s">
        <v>334</v>
      </c>
      <c r="B116" s="505">
        <f ca="1">IF(OR(B68=N5,B68=N7, B68=N8),1-E210,1)</f>
        <v>-0.18181818181818188</v>
      </c>
      <c r="C116" s="502" t="s">
        <v>335</v>
      </c>
      <c r="D116" s="506" t="e">
        <f ca="1">IF(OR(B68=N5,B68=N7,B68=N8),E215,IF(B5="No",B69,B69*B8/B7))</f>
        <v>#DIV/0!</v>
      </c>
      <c r="E116" s="467" t="s">
        <v>573</v>
      </c>
      <c r="F116" s="507">
        <f ca="1">IF(OR(B68=N5,B68=N7,B68=N8),E209*100,(B108*B109)*100)</f>
        <v>0</v>
      </c>
      <c r="G116" s="458"/>
      <c r="H116" s="488"/>
      <c r="I116" s="489"/>
      <c r="J116" s="58"/>
      <c r="K116" s="41"/>
      <c r="L116" s="41"/>
      <c r="M116" s="41"/>
    </row>
    <row r="117" spans="1:14" ht="30.75" customHeight="1" thickBot="1">
      <c r="A117" s="458"/>
      <c r="B117" s="458"/>
      <c r="C117" s="458"/>
      <c r="D117" s="467"/>
      <c r="E117" s="467"/>
      <c r="F117" s="467"/>
      <c r="G117" s="458"/>
      <c r="H117" s="488"/>
      <c r="I117" s="489"/>
      <c r="J117" s="58"/>
      <c r="K117" s="41"/>
      <c r="L117" s="41"/>
      <c r="M117" s="41"/>
    </row>
    <row r="118" spans="1:14" ht="31.5" customHeight="1" thickBot="1">
      <c r="A118" s="508" t="s">
        <v>571</v>
      </c>
      <c r="B118" s="509"/>
      <c r="C118" s="509"/>
      <c r="D118" s="510"/>
      <c r="E118" s="510"/>
      <c r="F118" s="510"/>
      <c r="G118" s="510"/>
      <c r="H118" s="510"/>
      <c r="I118" s="510"/>
      <c r="J118" s="58"/>
      <c r="K118" s="57"/>
      <c r="L118" s="57"/>
      <c r="M118" s="57"/>
    </row>
    <row r="119" spans="1:14" ht="18.75" customHeight="1" thickBot="1">
      <c r="A119" s="458"/>
      <c r="B119" s="458"/>
      <c r="C119" s="458"/>
      <c r="D119" s="467"/>
      <c r="E119" s="467"/>
      <c r="F119" s="467"/>
      <c r="G119" s="458"/>
      <c r="H119" s="488"/>
      <c r="I119" s="489"/>
      <c r="J119" s="75"/>
      <c r="K119" s="57"/>
      <c r="L119" s="57"/>
      <c r="M119" s="57"/>
      <c r="N119" s="70" t="s">
        <v>1</v>
      </c>
    </row>
    <row r="120" spans="1:14" ht="43.15" customHeight="1">
      <c r="A120" s="511" t="s">
        <v>498</v>
      </c>
      <c r="B120" s="512" t="s">
        <v>377</v>
      </c>
      <c r="C120" s="513" t="s">
        <v>378</v>
      </c>
      <c r="D120" s="514" t="s">
        <v>381</v>
      </c>
      <c r="E120" s="515" t="s">
        <v>379</v>
      </c>
      <c r="F120" s="516" t="s">
        <v>499</v>
      </c>
      <c r="G120" s="458"/>
      <c r="H120" s="488"/>
      <c r="I120" s="489"/>
      <c r="J120" s="73"/>
      <c r="K120" s="72"/>
      <c r="L120" s="72"/>
      <c r="M120" s="72"/>
    </row>
    <row r="121" spans="1:14" ht="30.75" customHeight="1">
      <c r="A121" s="517" t="s">
        <v>48</v>
      </c>
      <c r="B121" s="518" t="e">
        <f ca="1">F115</f>
        <v>#VALUE!</v>
      </c>
      <c r="C121" s="519" t="e">
        <f ca="1">IF($B$5="No",D115,D115*$B$7/$B$8)</f>
        <v>#VALUE!</v>
      </c>
      <c r="D121" s="519" t="e">
        <f ca="1">100*C121/B121</f>
        <v>#VALUE!</v>
      </c>
      <c r="E121" s="520" t="e">
        <f ca="1">(C121-D121)</f>
        <v>#VALUE!</v>
      </c>
      <c r="F121" s="521" t="e">
        <f ca="1">IF(OR(B14=N1,B14=N2,B14=N3),
IF($B$5="No",E121-E205,
             B8*E121/B7-E205),"N/A")</f>
        <v>#VALUE!</v>
      </c>
      <c r="G121" s="522"/>
      <c r="H121" s="523"/>
      <c r="I121" s="524"/>
      <c r="J121" s="58"/>
      <c r="K121" s="57"/>
      <c r="L121" s="57"/>
      <c r="M121" s="57"/>
    </row>
    <row r="122" spans="1:14" ht="30.75" customHeight="1" thickBot="1">
      <c r="A122" s="525" t="s">
        <v>380</v>
      </c>
      <c r="B122" s="526">
        <f ca="1">F116</f>
        <v>0</v>
      </c>
      <c r="C122" s="527" t="e">
        <f ca="1">IF($B$5="No",D116,D116*$B$7/$B$8)</f>
        <v>#DIV/0!</v>
      </c>
      <c r="D122" s="527" t="e">
        <f ca="1">100*C122/B122</f>
        <v>#DIV/0!</v>
      </c>
      <c r="E122" s="528" t="e">
        <f ca="1">(C122-D122)</f>
        <v>#DIV/0!</v>
      </c>
      <c r="F122" s="529" t="e">
        <f ca="1">IF(OR(B68=N5,B68=N7,B68=N8),
IF(B5="No",E122-E214,
       B8*E122/B7-E214),
"N/A")</f>
        <v>#DIV/0!</v>
      </c>
      <c r="G122" s="522"/>
      <c r="H122" s="523"/>
      <c r="I122" s="524"/>
      <c r="J122" s="58"/>
      <c r="K122" s="57"/>
      <c r="L122" s="57"/>
      <c r="M122" s="57"/>
    </row>
    <row r="123" spans="1:14" ht="38.450000000000003" customHeight="1">
      <c r="A123" s="530" t="s">
        <v>501</v>
      </c>
      <c r="B123" s="512" t="s">
        <v>377</v>
      </c>
      <c r="C123" s="513" t="s">
        <v>378</v>
      </c>
      <c r="D123" s="514" t="s">
        <v>381</v>
      </c>
      <c r="E123" s="515" t="s">
        <v>379</v>
      </c>
      <c r="F123" s="531" t="s">
        <v>500</v>
      </c>
      <c r="G123" s="458"/>
      <c r="H123" s="523"/>
      <c r="I123" s="524"/>
      <c r="J123" s="58"/>
      <c r="K123" s="57"/>
      <c r="L123" s="57"/>
      <c r="M123" s="57"/>
    </row>
    <row r="124" spans="1:14" ht="30.75" customHeight="1">
      <c r="A124" s="517" t="s">
        <v>48</v>
      </c>
      <c r="B124" s="518" t="e">
        <f ca="1">B106*100</f>
        <v>#VALUE!</v>
      </c>
      <c r="C124" s="519">
        <f ca="1">IF($B$5="No",E199,E199*$B$7/$B$8)</f>
        <v>0</v>
      </c>
      <c r="D124" s="519" t="e">
        <f ca="1">100*C124/B124</f>
        <v>#VALUE!</v>
      </c>
      <c r="E124" s="520" t="e">
        <f ca="1">(C124-D124)</f>
        <v>#VALUE!</v>
      </c>
      <c r="F124" s="521" t="e">
        <f ca="1">IF(OR(B14=N1,B14=N2,B14=N3),
-E124+
IF(B5="No",(E199-E200),
(B7/B8)*((E199-E200))),
"N/A")</f>
        <v>#VALUE!</v>
      </c>
      <c r="G124" s="458"/>
      <c r="H124" s="523"/>
      <c r="I124" s="524"/>
      <c r="J124" s="58"/>
      <c r="K124" s="57"/>
      <c r="L124" s="57"/>
      <c r="M124" s="57"/>
    </row>
    <row r="125" spans="1:14" ht="30.75" customHeight="1" thickBot="1">
      <c r="A125" s="525" t="s">
        <v>380</v>
      </c>
      <c r="B125" s="526" t="e">
        <f ca="1">B108*100</f>
        <v>#DIV/0!</v>
      </c>
      <c r="C125" s="519">
        <f ca="1">IF($B$5="No",E211,E211*$B$7/$B$8)</f>
        <v>0</v>
      </c>
      <c r="D125" s="527" t="e">
        <f ca="1">100*C125/B125</f>
        <v>#DIV/0!</v>
      </c>
      <c r="E125" s="528" t="e">
        <f ca="1">(C125-D125)</f>
        <v>#DIV/0!</v>
      </c>
      <c r="F125" s="529" t="e">
        <f ca="1">IF(OR(B68=N5,B68=N7,B68=N8),
-E125+
IF(B5="no",(E211-E212),
(B7/B8)*(E211-E212)),
"N/A")</f>
        <v>#DIV/0!</v>
      </c>
      <c r="G125" s="458"/>
      <c r="H125" s="523"/>
      <c r="I125" s="524"/>
      <c r="J125" s="58"/>
      <c r="K125" s="57"/>
      <c r="L125" s="57"/>
      <c r="M125" s="57"/>
    </row>
    <row r="126" spans="1:14" ht="71.45" customHeight="1">
      <c r="A126" s="511" t="s">
        <v>464</v>
      </c>
      <c r="B126" s="532" t="s">
        <v>575</v>
      </c>
      <c r="C126" s="532" t="s">
        <v>576</v>
      </c>
      <c r="D126" s="532" t="s">
        <v>607</v>
      </c>
      <c r="E126" s="532" t="s">
        <v>577</v>
      </c>
      <c r="F126" s="533" t="s">
        <v>496</v>
      </c>
      <c r="G126" s="534" t="s">
        <v>489</v>
      </c>
      <c r="H126" s="534" t="s">
        <v>490</v>
      </c>
      <c r="I126" s="534" t="s">
        <v>491</v>
      </c>
      <c r="J126" s="58"/>
      <c r="K126" s="57"/>
      <c r="L126" s="57"/>
      <c r="M126" s="57"/>
    </row>
    <row r="127" spans="1:14" ht="38.450000000000003" customHeight="1">
      <c r="A127" s="517" t="s">
        <v>48</v>
      </c>
      <c r="B127" s="535" t="e">
        <f ca="1">E121-E124</f>
        <v>#VALUE!</v>
      </c>
      <c r="C127" s="535" t="e">
        <f ca="1">-(1-$B$111)*E121</f>
        <v>#VALUE!</v>
      </c>
      <c r="D127" s="535">
        <v>0</v>
      </c>
      <c r="E127" s="535">
        <f>IF($G$114,-E124-B127-C127,0)</f>
        <v>0</v>
      </c>
      <c r="F127" s="536" t="e">
        <f ca="1">SUM(B127:E127)</f>
        <v>#VALUE!</v>
      </c>
      <c r="G127" s="537" t="e">
        <f ca="1">E124</f>
        <v>#VALUE!</v>
      </c>
      <c r="H127" s="537" t="e">
        <f ca="1">IF($G$114=TRUE,0,E121*B111)</f>
        <v>#VALUE!</v>
      </c>
      <c r="I127" s="538" t="e">
        <f ca="1">G127+F127-H127</f>
        <v>#VALUE!</v>
      </c>
      <c r="J127" s="58"/>
      <c r="K127" s="57"/>
      <c r="L127" s="57"/>
      <c r="M127" s="57"/>
    </row>
    <row r="128" spans="1:14" ht="16.5" thickBot="1">
      <c r="A128" s="525" t="s">
        <v>380</v>
      </c>
      <c r="B128" s="539" t="e">
        <f ca="1">E122-E125</f>
        <v>#DIV/0!</v>
      </c>
      <c r="C128" s="535" t="e">
        <f ca="1">-(1-$B$112)*E122</f>
        <v>#DIV/0!</v>
      </c>
      <c r="D128" s="535">
        <f>IF(B5="Yes",E125,0)</f>
        <v>0</v>
      </c>
      <c r="E128" s="535">
        <f>IF($G$114,-E125-B128-C128,0)</f>
        <v>0</v>
      </c>
      <c r="F128" s="536" t="e">
        <f ca="1">SUM(B128:E128)</f>
        <v>#DIV/0!</v>
      </c>
      <c r="G128" s="537" t="e">
        <f ca="1">IF(B5="Yes",0,E125)</f>
        <v>#DIV/0!</v>
      </c>
      <c r="H128" s="537" t="e">
        <f ca="1">IF($G$114=TRUE,0,E122*B112)</f>
        <v>#DIV/0!</v>
      </c>
      <c r="I128" s="538" t="e">
        <f ca="1">G128+F128-H128</f>
        <v>#DIV/0!</v>
      </c>
      <c r="J128" s="58"/>
      <c r="K128" s="57"/>
      <c r="L128" s="57"/>
      <c r="M128" s="57"/>
    </row>
    <row r="129" spans="1:13" ht="32.25" customHeight="1">
      <c r="A129" s="458"/>
      <c r="B129" s="458"/>
      <c r="C129" s="458"/>
      <c r="D129" s="467"/>
      <c r="E129" s="467"/>
      <c r="F129" s="467"/>
      <c r="G129" s="458"/>
      <c r="H129" s="523"/>
      <c r="I129" s="524"/>
      <c r="J129" s="58"/>
      <c r="K129" s="41"/>
      <c r="L129" s="41"/>
      <c r="M129" s="41"/>
    </row>
    <row r="187" spans="1:13" ht="16.5" thickBot="1">
      <c r="A187" s="274" t="s">
        <v>515</v>
      </c>
      <c r="B187" s="274"/>
      <c r="C187" s="274"/>
      <c r="D187" s="275"/>
      <c r="E187" s="275"/>
      <c r="F187" s="275"/>
      <c r="G187" s="274"/>
      <c r="H187" s="275"/>
      <c r="I187" s="276"/>
      <c r="J187" s="277"/>
      <c r="K187" s="276"/>
      <c r="L187" s="276"/>
    </row>
    <row r="188" spans="1:13" ht="16.5" thickBot="1">
      <c r="A188" s="282" t="s">
        <v>340</v>
      </c>
      <c r="B188" s="286" t="s">
        <v>503</v>
      </c>
      <c r="C188" s="286" t="s">
        <v>504</v>
      </c>
      <c r="D188" s="286" t="s">
        <v>505</v>
      </c>
      <c r="E188" s="290" t="s">
        <v>516</v>
      </c>
      <c r="F188" s="286"/>
      <c r="G188" s="286"/>
      <c r="H188" s="290"/>
      <c r="I188" s="290">
        <v>1</v>
      </c>
      <c r="J188" s="290">
        <v>2</v>
      </c>
      <c r="K188" s="290">
        <v>3</v>
      </c>
      <c r="L188" s="290" t="s">
        <v>512</v>
      </c>
      <c r="M188" s="290" t="s">
        <v>516</v>
      </c>
    </row>
    <row r="189" spans="1:13" ht="31.5">
      <c r="A189" s="284" t="s">
        <v>373</v>
      </c>
      <c r="B189" s="294" t="str">
        <f>INDEX(DEAPEntries!$B$13:$D$20,MATCH($A189,DEAPEntries!$A$13:$A$20,0),MATCH(B$188,DEAPEntries!$B$13:$D$13,0))</f>
        <v>Heat Pump</v>
      </c>
      <c r="C189" s="294" t="str">
        <f>INDEX(DEAPEntries!$B$13:$D$20,MATCH($A189,DEAPEntries!$A$13:$A$20,0),MATCH(C$188,DEAPEntries!$B$13:$D$13,0))</f>
        <v>None</v>
      </c>
      <c r="D189" s="294" t="str">
        <f>INDEX(DEAPEntries!$B$13:$D$20,MATCH($A189,DEAPEntries!$A$13:$A$20,0),MATCH(D$188,DEAPEntries!$B$13:$D$13,0))</f>
        <v>None</v>
      </c>
      <c r="E189" s="291" t="str">
        <f t="shared" ref="E189:E195" si="1">VLOOKUP(A189,A189:D189,$G$1+1,FALSE)</f>
        <v>None</v>
      </c>
      <c r="F189" s="278"/>
      <c r="G189" s="275"/>
      <c r="H189" s="298" t="s">
        <v>345</v>
      </c>
      <c r="I189" s="297" t="b">
        <f t="shared" ref="I189:K190" si="2">IF(B189="None",FALSE,TRUE)</f>
        <v>1</v>
      </c>
      <c r="J189" s="295" t="b">
        <f t="shared" si="2"/>
        <v>0</v>
      </c>
      <c r="K189" s="295" t="b">
        <f t="shared" si="2"/>
        <v>0</v>
      </c>
      <c r="L189" s="295" t="b">
        <f>IF(OR(I189,J189,K189),TRUE,FALSE)</f>
        <v>1</v>
      </c>
      <c r="M189" s="291" t="b">
        <f>VLOOKUP(H189,H189:L189,$G$1+1,FALSE)</f>
        <v>0</v>
      </c>
    </row>
    <row r="190" spans="1:13">
      <c r="A190" s="284" t="s">
        <v>374</v>
      </c>
      <c r="B190" s="294" t="str">
        <f>INDEX(DEAPEntries!$B$13:$D$20,MATCH($A190,DEAPEntries!$A$13:$A$20,0),MATCH(B$188,DEAPEntries!$B$13:$D$13,0))</f>
        <v>Heat Pump</v>
      </c>
      <c r="C190" s="294" t="str">
        <f>INDEX(DEAPEntries!$B$13:$D$20,MATCH($A190,DEAPEntries!$A$13:$A$20,0),MATCH(C$188,DEAPEntries!$B$13:$D$13,0))</f>
        <v>None</v>
      </c>
      <c r="D190" s="294" t="str">
        <f>INDEX(DEAPEntries!$B$13:$D$20,MATCH($A190,DEAPEntries!$A$13:$A$20,0),MATCH(D$188,DEAPEntries!$B$13:$D$13,0))</f>
        <v>None</v>
      </c>
      <c r="E190" s="291" t="str">
        <f t="shared" si="1"/>
        <v>None</v>
      </c>
      <c r="F190" s="278"/>
      <c r="G190" s="275"/>
      <c r="H190" s="298" t="s">
        <v>346</v>
      </c>
      <c r="I190" s="297" t="b">
        <f t="shared" si="2"/>
        <v>1</v>
      </c>
      <c r="J190" s="295" t="b">
        <f t="shared" si="2"/>
        <v>0</v>
      </c>
      <c r="K190" s="295" t="b">
        <f t="shared" si="2"/>
        <v>0</v>
      </c>
      <c r="L190" s="295" t="b">
        <f>IF(OR(I190,J190,K190),TRUE,FALSE)</f>
        <v>1</v>
      </c>
      <c r="M190" s="291" t="b">
        <f>VLOOKUP(H190,H190:L190,$G$1+1,FALSE)</f>
        <v>0</v>
      </c>
    </row>
    <row r="191" spans="1:13">
      <c r="A191" s="284" t="s">
        <v>506</v>
      </c>
      <c r="B191" s="300">
        <f>INDEX(DEAPEntries!$B$13:$D$20,MATCH($A191,DEAPEntries!$A$13:$A$20,0),MATCH(B$188,DEAPEntries!$B$13:$D$13,0))</f>
        <v>0</v>
      </c>
      <c r="C191" s="300">
        <f>INDEX(DEAPEntries!$B$13:$D$20,MATCH($A191,DEAPEntries!$A$13:$A$20,0),MATCH(C$188,DEAPEntries!$B$13:$D$13,0))</f>
        <v>0</v>
      </c>
      <c r="D191" s="300">
        <f>INDEX(DEAPEntries!$B$13:$D$20,MATCH($A191,DEAPEntries!$A$13:$A$20,0),MATCH(D$188,DEAPEntries!$B$13:$D$13,0))</f>
        <v>0</v>
      </c>
      <c r="E191" s="301">
        <f t="shared" si="1"/>
        <v>0</v>
      </c>
      <c r="F191" s="278"/>
      <c r="G191" s="275"/>
      <c r="H191" s="275"/>
      <c r="I191" s="287"/>
      <c r="J191" s="283"/>
      <c r="K191" s="283"/>
      <c r="L191" s="287"/>
    </row>
    <row r="192" spans="1:13">
      <c r="A192" s="284" t="s">
        <v>507</v>
      </c>
      <c r="B192" s="300">
        <f>INDEX(DEAPEntries!$B$13:$D$20,MATCH($A192,DEAPEntries!$A$13:$A$20,0),MATCH(B$188,DEAPEntries!$B$13:$D$13,0))</f>
        <v>0</v>
      </c>
      <c r="C192" s="300">
        <f>INDEX(DEAPEntries!$B$13:$D$20,MATCH($A192,DEAPEntries!$A$13:$A$20,0),MATCH(C$188,DEAPEntries!$B$13:$D$13,0))</f>
        <v>0</v>
      </c>
      <c r="D192" s="300">
        <f>INDEX(DEAPEntries!$B$13:$D$20,MATCH($A192,DEAPEntries!$A$13:$A$20,0),MATCH(D$188,DEAPEntries!$B$13:$D$13,0))</f>
        <v>0</v>
      </c>
      <c r="E192" s="301">
        <f t="shared" si="1"/>
        <v>0</v>
      </c>
      <c r="F192" s="278"/>
      <c r="G192" s="275"/>
      <c r="H192" s="275"/>
      <c r="I192" s="287"/>
      <c r="J192" s="283"/>
      <c r="K192" s="283"/>
      <c r="L192" s="287"/>
    </row>
    <row r="193" spans="1:29">
      <c r="A193" s="284" t="s">
        <v>508</v>
      </c>
      <c r="B193" s="300" t="str">
        <f>INDEX(DEAPEntries!$B$13:$D$20,MATCH($A193,DEAPEntries!$A$13:$A$20,0),MATCH(B$188,DEAPEntries!$B$13:$D$13,0))</f>
        <v>No</v>
      </c>
      <c r="C193" s="300" t="str">
        <f>INDEX(DEAPEntries!$B$13:$D$20,MATCH($A193,DEAPEntries!$A$13:$A$20,0),MATCH(C$188,DEAPEntries!$B$13:$D$13,0))</f>
        <v>No</v>
      </c>
      <c r="D193" s="300" t="str">
        <f>INDEX(DEAPEntries!$B$13:$D$20,MATCH($A193,DEAPEntries!$A$13:$A$20,0),MATCH(D$188,DEAPEntries!$B$13:$D$13,0))</f>
        <v>No</v>
      </c>
      <c r="E193" s="301" t="str">
        <f t="shared" si="1"/>
        <v>No</v>
      </c>
      <c r="F193" s="278"/>
      <c r="G193" s="275"/>
      <c r="H193" s="275"/>
      <c r="I193" s="287"/>
      <c r="J193" s="283"/>
      <c r="K193" s="283"/>
      <c r="L193" s="283"/>
    </row>
    <row r="194" spans="1:29">
      <c r="A194" s="285" t="s">
        <v>87</v>
      </c>
      <c r="B194" s="300" t="str">
        <f>INDEX(DEAPEntries!$B$13:$D$20,MATCH($A194,DEAPEntries!$A$13:$A$20,0),MATCH(B$188,DEAPEntries!$B$13:$D$13,0))</f>
        <v>No</v>
      </c>
      <c r="C194" s="300" t="str">
        <f>INDEX(DEAPEntries!$B$13:$D$20,MATCH($A194,DEAPEntries!$A$13:$A$20,0),MATCH(C$188,DEAPEntries!$B$13:$D$13,0))</f>
        <v>No</v>
      </c>
      <c r="D194" s="300" t="str">
        <f>INDEX(DEAPEntries!$B$13:$D$20,MATCH($A194,DEAPEntries!$A$13:$A$20,0),MATCH(D$188,DEAPEntries!$B$13:$D$13,0))</f>
        <v>No</v>
      </c>
      <c r="E194" s="301" t="str">
        <f t="shared" si="1"/>
        <v>No</v>
      </c>
      <c r="F194" s="278"/>
      <c r="G194" s="275"/>
      <c r="H194" s="299" t="s">
        <v>511</v>
      </c>
      <c r="I194" s="296" t="b">
        <f>IF(OR(B194="Yes",C194="Yes",D194="Yes"),TRUE,FALSE)</f>
        <v>0</v>
      </c>
      <c r="J194" s="283"/>
      <c r="K194" s="283"/>
      <c r="L194" s="283"/>
    </row>
    <row r="195" spans="1:29">
      <c r="A195" s="279" t="s">
        <v>452</v>
      </c>
      <c r="B195" s="300">
        <f>INDEX(DEAPEntries!$B$13:$D$20,MATCH($A195,DEAPEntries!$A$13:$A$20,0),MATCH(B$188,DEAPEntries!$B$13:$D$13,0))</f>
        <v>0</v>
      </c>
      <c r="C195" s="300">
        <f>INDEX(DEAPEntries!$B$13:$D$20,MATCH($A195,DEAPEntries!$A$13:$A$20,0),MATCH(C$188,DEAPEntries!$B$13:$D$13,0))</f>
        <v>0</v>
      </c>
      <c r="D195" s="300">
        <f>INDEX(DEAPEntries!$B$13:$D$20,MATCH($A195,DEAPEntries!$A$13:$A$20,0),MATCH(D$188,DEAPEntries!$B$13:$D$13,0))</f>
        <v>0</v>
      </c>
      <c r="E195" s="301">
        <f t="shared" si="1"/>
        <v>0</v>
      </c>
      <c r="F195" s="278"/>
      <c r="G195" s="280"/>
      <c r="H195" s="280"/>
      <c r="I195" s="288"/>
      <c r="J195" s="289"/>
      <c r="K195" s="281"/>
      <c r="L195" s="283"/>
    </row>
    <row r="197" spans="1:29" s="95" customFormat="1" ht="12.75">
      <c r="A197" s="317" t="s">
        <v>568</v>
      </c>
      <c r="B197" s="318" t="s">
        <v>553</v>
      </c>
      <c r="C197" s="318" t="s">
        <v>554</v>
      </c>
      <c r="D197" s="318" t="s">
        <v>555</v>
      </c>
      <c r="E197" s="309"/>
      <c r="F197" s="309"/>
      <c r="G197" s="309"/>
      <c r="H197" s="309"/>
      <c r="I197" s="308"/>
      <c r="J197" s="97"/>
      <c r="L197" s="97"/>
      <c r="AC197" s="97"/>
    </row>
    <row r="198" spans="1:29" s="95" customFormat="1" ht="60" customHeight="1">
      <c r="A198" s="310" t="s">
        <v>590</v>
      </c>
      <c r="B198" s="310" t="str">
        <f>RIGHT(B197)</f>
        <v>1</v>
      </c>
      <c r="C198" s="310" t="str">
        <f>RIGHT(C197)</f>
        <v>2</v>
      </c>
      <c r="D198" s="310" t="str">
        <f>RIGHT(D197)</f>
        <v>3</v>
      </c>
      <c r="E198" s="310" t="s">
        <v>552</v>
      </c>
      <c r="F198" s="311" t="s">
        <v>547</v>
      </c>
      <c r="G198" s="311" t="s">
        <v>550</v>
      </c>
      <c r="H198" s="311" t="s">
        <v>556</v>
      </c>
      <c r="I198" s="97"/>
      <c r="J198" s="97"/>
      <c r="L198" s="97"/>
      <c r="AC198" s="97"/>
    </row>
    <row r="199" spans="1:29" s="95" customFormat="1">
      <c r="A199" s="316" t="str">
        <f>HeatingCalc_1!A60</f>
        <v>Space Heating Energy Requirement</v>
      </c>
      <c r="B199" s="312">
        <f>HeatingCalc_1!H60</f>
        <v>0</v>
      </c>
      <c r="C199" s="313" cm="1">
        <f t="array" aca="1" ref="C199" ca="1">INDIRECT($F199&amp;C$198&amp;"!"&amp;$G199)</f>
        <v>0</v>
      </c>
      <c r="D199" s="313" cm="1">
        <f t="array" aca="1" ref="D199" ca="1">INDIRECT($F199&amp;D$198&amp;"!"&amp;$G199)</f>
        <v>0</v>
      </c>
      <c r="E199" s="331">
        <f t="shared" ref="E199:E207" ca="1" si="3">VLOOKUP(A199,A199:D199,$G$1+1,FALSE)</f>
        <v>0</v>
      </c>
      <c r="F199" s="314" t="str">
        <f ca="1">LEFT(H199,FIND("1",H199)-1)</f>
        <v>HeatingCalc_</v>
      </c>
      <c r="G199" s="314" t="str">
        <f ca="1">RIGHT(H199,LEN(H199)-FIND("!",H199))</f>
        <v>H60</v>
      </c>
      <c r="H199" s="315" t="str">
        <f ca="1">SUBSTITUTE( _xlfn.FORMULATEXT(B199),"=","")</f>
        <v>HeatingCalc_1!H60</v>
      </c>
      <c r="L199" s="97"/>
      <c r="AC199" s="97"/>
    </row>
    <row r="200" spans="1:29" s="95" customFormat="1">
      <c r="A200" s="316" t="str">
        <f>HeatingCalc_1!A69</f>
        <v>Total Delivered Energy Required (this will be gas or elec)</v>
      </c>
      <c r="B200" s="312" t="e">
        <f>HeatingCalc_1!H69</f>
        <v>#VALUE!</v>
      </c>
      <c r="C200" s="313" t="e" cm="1">
        <f t="array" aca="1" ref="C200" ca="1">INDIRECT($F200&amp;C$198&amp;"!"&amp;$G200)</f>
        <v>#VALUE!</v>
      </c>
      <c r="D200" s="313" t="e" cm="1">
        <f t="array" aca="1" ref="D200" ca="1">INDIRECT($F200&amp;D$198&amp;"!"&amp;$G200)</f>
        <v>#VALUE!</v>
      </c>
      <c r="E200" s="331" t="e">
        <f t="shared" ca="1" si="3"/>
        <v>#VALUE!</v>
      </c>
      <c r="F200" s="314" t="str">
        <f ca="1">LEFT(H200,FIND("1",H200)-1)</f>
        <v>HeatingCalc_</v>
      </c>
      <c r="G200" s="314" t="str">
        <f ca="1">RIGHT(H200,LEN(H200)-FIND("!",H200))</f>
        <v>H69</v>
      </c>
      <c r="H200" s="315" t="str">
        <f ca="1">SUBSTITUTE( _xlfn.FORMULATEXT(B200),"=","")</f>
        <v>HeatingCalc_1!H69</v>
      </c>
      <c r="L200" s="97"/>
      <c r="AC200" s="97"/>
    </row>
    <row r="201" spans="1:29" s="95" customFormat="1">
      <c r="A201" s="316" t="str">
        <f>HeatingCalc_1!A71</f>
        <v>SPF - Heat Pump &amp; Back up Heater</v>
      </c>
      <c r="B201" s="312" t="e">
        <f>HeatingCalc_1!H71</f>
        <v>#VALUE!</v>
      </c>
      <c r="C201" s="313" t="e" cm="1">
        <f t="array" aca="1" ref="C201" ca="1">INDIRECT($F201&amp;C$198&amp;"!"&amp;$G201)</f>
        <v>#VALUE!</v>
      </c>
      <c r="D201" s="313" t="e" cm="1">
        <f t="array" aca="1" ref="D201" ca="1">INDIRECT($F201&amp;D$198&amp;"!"&amp;$G201)</f>
        <v>#VALUE!</v>
      </c>
      <c r="E201" s="331" t="e">
        <f t="shared" ca="1" si="3"/>
        <v>#VALUE!</v>
      </c>
      <c r="F201" s="314" t="str">
        <f t="shared" ref="F201:F207" ca="1" si="4">LEFT(H201,FIND("1",H201)-1)</f>
        <v>HeatingCalc_</v>
      </c>
      <c r="G201" s="314" t="str">
        <f t="shared" ref="G201:G207" ca="1" si="5">RIGHT(H201,LEN(H201)-FIND("!",H201))</f>
        <v>H71</v>
      </c>
      <c r="H201" s="315" t="str">
        <f t="shared" ref="H201:H207" ca="1" si="6">SUBSTITUTE( _xlfn.FORMULATEXT(B201),"=","")</f>
        <v>HeatingCalc_1!H71</v>
      </c>
      <c r="L201" s="97"/>
      <c r="AC201" s="97"/>
    </row>
    <row r="202" spans="1:29" s="95" customFormat="1">
      <c r="A202" s="316" t="str">
        <f>HeatingCalc_1!A73</f>
        <v>Renewable Contribution calculated in DEAP</v>
      </c>
      <c r="B202" s="312" t="e">
        <f>HeatingCalc_1!H73</f>
        <v>#VALUE!</v>
      </c>
      <c r="C202" s="313" t="e" cm="1">
        <f t="array" aca="1" ref="C202" ca="1">INDIRECT($F202&amp;C$198&amp;"!"&amp;$G202)</f>
        <v>#VALUE!</v>
      </c>
      <c r="D202" s="313" t="e" cm="1">
        <f t="array" aca="1" ref="D202" ca="1">INDIRECT($F202&amp;D$198&amp;"!"&amp;$G202)</f>
        <v>#VALUE!</v>
      </c>
      <c r="E202" s="331" t="e">
        <f t="shared" ca="1" si="3"/>
        <v>#VALUE!</v>
      </c>
      <c r="F202" s="314" t="str">
        <f t="shared" ca="1" si="4"/>
        <v>HeatingCalc_</v>
      </c>
      <c r="G202" s="314" t="str">
        <f t="shared" ca="1" si="5"/>
        <v>H73</v>
      </c>
      <c r="H202" s="315" t="str">
        <f t="shared" ca="1" si="6"/>
        <v>HeatingCalc_1!H73</v>
      </c>
      <c r="L202" s="97"/>
      <c r="AC202" s="97"/>
    </row>
    <row r="203" spans="1:29" s="95" customFormat="1">
      <c r="A203" s="316" t="str">
        <f>HeatingCalc_1!A75</f>
        <v>Space Heating Provided by Heat Pump</v>
      </c>
      <c r="B203" s="312" t="e">
        <f>HeatingCalc_1!H75</f>
        <v>#VALUE!</v>
      </c>
      <c r="C203" s="313" t="e" cm="1">
        <f t="array" aca="1" ref="C203" ca="1">INDIRECT($F203&amp;C$198&amp;"!"&amp;$G203)</f>
        <v>#VALUE!</v>
      </c>
      <c r="D203" s="313" t="e" cm="1">
        <f t="array" aca="1" ref="D203" ca="1">INDIRECT($F203&amp;D$198&amp;"!"&amp;$G203)</f>
        <v>#VALUE!</v>
      </c>
      <c r="E203" s="331" t="e">
        <f t="shared" ca="1" si="3"/>
        <v>#VALUE!</v>
      </c>
      <c r="F203" s="314" t="str">
        <f t="shared" ca="1" si="4"/>
        <v>HeatingCalc_</v>
      </c>
      <c r="G203" s="314" t="str">
        <f t="shared" ca="1" si="5"/>
        <v>H75</v>
      </c>
      <c r="H203" s="315" t="str">
        <f t="shared" ca="1" si="6"/>
        <v>HeatingCalc_1!H75</v>
      </c>
      <c r="I203" s="96"/>
      <c r="L203" s="97"/>
      <c r="AC203" s="97"/>
    </row>
    <row r="204" spans="1:29" s="95" customFormat="1">
      <c r="A204" s="316" t="str">
        <f>HeatingCalc_1!A77</f>
        <v>SPF - Heat Pump only</v>
      </c>
      <c r="B204" s="312" t="e">
        <f>HeatingCalc_1!H77</f>
        <v>#VALUE!</v>
      </c>
      <c r="C204" s="313" t="e" cm="1">
        <f t="array" aca="1" ref="C204" ca="1">INDIRECT($F204&amp;C$198&amp;"!"&amp;$G204)</f>
        <v>#VALUE!</v>
      </c>
      <c r="D204" s="313" t="e" cm="1">
        <f t="array" aca="1" ref="D204" ca="1">INDIRECT($F204&amp;D$198&amp;"!"&amp;$G204)</f>
        <v>#VALUE!</v>
      </c>
      <c r="E204" s="331" t="e">
        <f t="shared" ca="1" si="3"/>
        <v>#VALUE!</v>
      </c>
      <c r="F204" s="314" t="str">
        <f t="shared" ca="1" si="4"/>
        <v>HeatingCalc_</v>
      </c>
      <c r="G204" s="314" t="str">
        <f t="shared" ca="1" si="5"/>
        <v>H77</v>
      </c>
      <c r="H204" s="315" t="str">
        <f t="shared" ca="1" si="6"/>
        <v>HeatingCalc_1!H77</v>
      </c>
      <c r="L204" s="97"/>
      <c r="AC204" s="97"/>
    </row>
    <row r="205" spans="1:29">
      <c r="A205" s="316" t="str">
        <f>HeatingCalc_1!A79</f>
        <v>Renewable Contribution provided by Heat Pump</v>
      </c>
      <c r="B205" s="312" t="e">
        <f>HeatingCalc_1!H79</f>
        <v>#VALUE!</v>
      </c>
      <c r="C205" s="313" t="e" cm="1">
        <f t="array" aca="1" ref="C205" ca="1">INDIRECT($F205&amp;C$198&amp;"!"&amp;$G205)</f>
        <v>#VALUE!</v>
      </c>
      <c r="D205" s="313" t="e" cm="1">
        <f t="array" aca="1" ref="D205" ca="1">INDIRECT($F205&amp;D$198&amp;"!"&amp;$G205)</f>
        <v>#VALUE!</v>
      </c>
      <c r="E205" s="331" t="e">
        <f t="shared" ca="1" si="3"/>
        <v>#VALUE!</v>
      </c>
      <c r="F205" s="314" t="str">
        <f t="shared" ca="1" si="4"/>
        <v>HeatingCalc_</v>
      </c>
      <c r="G205" s="314" t="str">
        <f t="shared" ca="1" si="5"/>
        <v>H79</v>
      </c>
      <c r="H205" s="315" t="str">
        <f t="shared" ca="1" si="6"/>
        <v>HeatingCalc_1!H79</v>
      </c>
    </row>
    <row r="206" spans="1:29">
      <c r="A206" s="316" t="str">
        <f>HeatingCalc_1!A82</f>
        <v>Renewable Contribution from Exhaust Air Heat Pump</v>
      </c>
      <c r="B206" s="312" t="e">
        <f>HeatingCalc_1!H82</f>
        <v>#VALUE!</v>
      </c>
      <c r="C206" s="313" t="e" cm="1">
        <f t="array" aca="1" ref="C206" ca="1">INDIRECT($F206&amp;C$198&amp;"!"&amp;$G206)</f>
        <v>#VALUE!</v>
      </c>
      <c r="D206" s="313" t="e" cm="1">
        <f t="array" aca="1" ref="D206" ca="1">INDIRECT($F206&amp;D$198&amp;"!"&amp;$G206)</f>
        <v>#VALUE!</v>
      </c>
      <c r="E206" s="331" t="e">
        <f t="shared" ca="1" si="3"/>
        <v>#VALUE!</v>
      </c>
      <c r="F206" s="314" t="str">
        <f t="shared" ca="1" si="4"/>
        <v>HeatingCalc_</v>
      </c>
      <c r="G206" s="314" t="str">
        <f t="shared" ca="1" si="5"/>
        <v>H82</v>
      </c>
      <c r="H206" s="315" t="str">
        <f t="shared" ca="1" si="6"/>
        <v>HeatingCalc_1!H82</v>
      </c>
    </row>
    <row r="207" spans="1:29">
      <c r="A207" s="316" t="str">
        <f>HeatingCalc_1!I85</f>
        <v>% renewables</v>
      </c>
      <c r="B207" s="319">
        <f>HeatingCalc_1!H85</f>
        <v>1</v>
      </c>
      <c r="C207" s="313" cm="1">
        <f t="array" aca="1" ref="C207" ca="1">INDIRECT($F207&amp;C$198&amp;"!"&amp;$G207)</f>
        <v>1</v>
      </c>
      <c r="D207" s="313" cm="1">
        <f t="array" aca="1" ref="D207" ca="1">INDIRECT($F207&amp;D$198&amp;"!"&amp;$G207)</f>
        <v>1</v>
      </c>
      <c r="E207" s="332">
        <f t="shared" ca="1" si="3"/>
        <v>1</v>
      </c>
      <c r="F207" s="314" t="str">
        <f t="shared" ca="1" si="4"/>
        <v>HeatingCalc_</v>
      </c>
      <c r="G207" s="314" t="str">
        <f t="shared" ca="1" si="5"/>
        <v>H85</v>
      </c>
      <c r="H207" s="315" t="str">
        <f t="shared" ca="1" si="6"/>
        <v>HeatingCalc_1!H85</v>
      </c>
    </row>
    <row r="208" spans="1:29" s="39" customFormat="1" ht="12.75">
      <c r="A208" s="310" t="s">
        <v>574</v>
      </c>
    </row>
    <row r="209" spans="1:8">
      <c r="A209" s="316" t="str">
        <f>DHWCalc_1!A12</f>
        <v>Efficiency for DEAP</v>
      </c>
      <c r="B209" s="319">
        <f>DHWCalc_1!B12</f>
        <v>0</v>
      </c>
      <c r="C209" s="313" cm="1">
        <f t="array" aca="1" ref="C209" ca="1">INDIRECT($F209&amp;C$198&amp;"!"&amp;$G209)</f>
        <v>0</v>
      </c>
      <c r="D209" s="313" cm="1">
        <f t="array" aca="1" ref="D209" ca="1">INDIRECT($F209&amp;D$198&amp;"!"&amp;$G209)</f>
        <v>0</v>
      </c>
      <c r="E209" s="332">
        <f ca="1">VLOOKUP(A209,A209:D209,$G$1+1,FALSE)</f>
        <v>0</v>
      </c>
      <c r="F209" s="314" t="str">
        <f t="shared" ref="F209:F222" ca="1" si="7">LEFT(H209,FIND("1",H209)-1)</f>
        <v>DHWCalc_</v>
      </c>
      <c r="G209" s="314" t="str">
        <f t="shared" ref="G209:G222" ca="1" si="8">RIGHT(H209,LEN(H209)-FIND("!",H209))</f>
        <v>B12</v>
      </c>
      <c r="H209" s="315" t="str">
        <f t="shared" ref="H209:H222" ca="1" si="9">SUBSTITUTE( _xlfn.FORMULATEXT(B209),"=","")</f>
        <v>DHWCalc_1!B12</v>
      </c>
    </row>
    <row r="210" spans="1:8" ht="31.5">
      <c r="A210" s="316" t="str">
        <f>DHWCalc_1!A17</f>
        <v>Fraction of Demand met by backup energy to meet temperature shortfall</v>
      </c>
      <c r="B210" s="320" t="e">
        <f>DHWCalc_1!B17</f>
        <v>#VALUE!</v>
      </c>
      <c r="C210" s="313" cm="1">
        <f t="array" aca="1" ref="C210" ca="1">INDIRECT($F210&amp;C$198&amp;"!"&amp;$G210)</f>
        <v>1.1818181818181819</v>
      </c>
      <c r="D210" s="313" cm="1">
        <f t="array" aca="1" ref="D210" ca="1">INDIRECT($F210&amp;D$198&amp;"!"&amp;$G210)</f>
        <v>1.1818181818181819</v>
      </c>
      <c r="E210" s="385">
        <f ca="1">VLOOKUP(A210,A210:D210,$G$1+1,FALSE)</f>
        <v>1.1818181818181819</v>
      </c>
      <c r="F210" s="314" t="str">
        <f t="shared" ca="1" si="7"/>
        <v>DHWCalc_</v>
      </c>
      <c r="G210" s="314" t="str">
        <f t="shared" ca="1" si="8"/>
        <v>B17</v>
      </c>
      <c r="H210" s="315" t="str">
        <f t="shared" ca="1" si="9"/>
        <v>DHWCalc_1!B17</v>
      </c>
    </row>
    <row r="211" spans="1:8">
      <c r="A211" s="316" t="str">
        <f>DHWCalc_1!A19</f>
        <v>DHW Demand for Dwelling</v>
      </c>
      <c r="B211" s="387">
        <f>DHWCalc_1!B19</f>
        <v>0</v>
      </c>
      <c r="C211" s="313" cm="1">
        <f t="array" aca="1" ref="C211" ca="1">INDIRECT($F211&amp;C$198&amp;"!"&amp;$G211)</f>
        <v>0</v>
      </c>
      <c r="D211" s="313" cm="1">
        <f t="array" aca="1" ref="D211" ca="1">INDIRECT($F211&amp;D$198&amp;"!"&amp;$G211)</f>
        <v>0</v>
      </c>
      <c r="E211" s="390">
        <f t="shared" ref="E211:E222" ca="1" si="10">VLOOKUP(A211,A211:D211,$G$1+1,FALSE)</f>
        <v>0</v>
      </c>
      <c r="F211" s="314" t="str">
        <f t="shared" ca="1" si="7"/>
        <v>DHWCalc_</v>
      </c>
      <c r="G211" s="314" t="str">
        <f t="shared" ca="1" si="8"/>
        <v>B19</v>
      </c>
      <c r="H211" s="315" t="str">
        <f t="shared" ca="1" si="9"/>
        <v>DHWCalc_1!B19</v>
      </c>
    </row>
    <row r="212" spans="1:8">
      <c r="A212" s="316" t="str">
        <f>DHWCalc_1!A28</f>
        <v>Total Fuel Required for Water Heating</v>
      </c>
      <c r="B212" s="387" t="e">
        <f>DHWCalc_1!B28</f>
        <v>#VALUE!</v>
      </c>
      <c r="C212" s="313" t="e" cm="1">
        <f t="array" aca="1" ref="C212" ca="1">INDIRECT($F212&amp;C$198&amp;"!"&amp;$G212)</f>
        <v>#DIV/0!</v>
      </c>
      <c r="D212" s="313" t="e" cm="1">
        <f t="array" aca="1" ref="D212" ca="1">INDIRECT($F212&amp;D$198&amp;"!"&amp;$G212)</f>
        <v>#DIV/0!</v>
      </c>
      <c r="E212" s="390" t="e">
        <f t="shared" ca="1" si="10"/>
        <v>#DIV/0!</v>
      </c>
      <c r="F212" s="314" t="str">
        <f t="shared" ca="1" si="7"/>
        <v>DHWCalc_</v>
      </c>
      <c r="G212" s="314" t="str">
        <f t="shared" ca="1" si="8"/>
        <v>B28</v>
      </c>
      <c r="H212" s="315" t="str">
        <f t="shared" ca="1" si="9"/>
        <v>DHWCalc_1!B28</v>
      </c>
    </row>
    <row r="213" spans="1:8">
      <c r="A213" s="316" t="str">
        <f>DHWCalc_1!A30</f>
        <v>SPF</v>
      </c>
      <c r="B213" s="319" t="e">
        <f>DHWCalc_1!B30</f>
        <v>#VALUE!</v>
      </c>
      <c r="C213" s="313" t="e" cm="1">
        <f t="array" aca="1" ref="C213" ca="1">INDIRECT($F213&amp;C$198&amp;"!"&amp;$G213)</f>
        <v>#DIV/0!</v>
      </c>
      <c r="D213" s="313" t="e" cm="1">
        <f t="array" aca="1" ref="D213" ca="1">INDIRECT($F213&amp;D$198&amp;"!"&amp;$G213)</f>
        <v>#DIV/0!</v>
      </c>
      <c r="E213" s="332" t="e">
        <f t="shared" ca="1" si="10"/>
        <v>#DIV/0!</v>
      </c>
      <c r="F213" s="314" t="str">
        <f t="shared" ca="1" si="7"/>
        <v>DHWCalc_</v>
      </c>
      <c r="G213" s="314" t="str">
        <f t="shared" ca="1" si="8"/>
        <v>B30</v>
      </c>
      <c r="H213" s="315" t="str">
        <f t="shared" ca="1" si="9"/>
        <v>DHWCalc_1!B30</v>
      </c>
    </row>
    <row r="214" spans="1:8">
      <c r="A214" s="316" t="str">
        <f>DHWCalc_1!A32</f>
        <v>Renewable Contribution calculated in DEAP</v>
      </c>
      <c r="B214" s="388" t="e">
        <f>DHWCalc_1!B32</f>
        <v>#VALUE!</v>
      </c>
      <c r="C214" s="313" t="e" cm="1">
        <f t="array" aca="1" ref="C214" ca="1">INDIRECT($F214&amp;C$198&amp;"!"&amp;$G214)</f>
        <v>#DIV/0!</v>
      </c>
      <c r="D214" s="313" t="e" cm="1">
        <f t="array" aca="1" ref="D214" ca="1">INDIRECT($F214&amp;D$198&amp;"!"&amp;$G214)</f>
        <v>#DIV/0!</v>
      </c>
      <c r="E214" s="389" t="e">
        <f t="shared" ca="1" si="10"/>
        <v>#DIV/0!</v>
      </c>
      <c r="F214" s="314" t="str">
        <f t="shared" ca="1" si="7"/>
        <v>DHWCalc_</v>
      </c>
      <c r="G214" s="314" t="str">
        <f t="shared" ca="1" si="8"/>
        <v>B32</v>
      </c>
      <c r="H214" s="315" t="str">
        <f t="shared" ca="1" si="9"/>
        <v>DHWCalc_1!B32</v>
      </c>
    </row>
    <row r="215" spans="1:8">
      <c r="A215" s="316" t="str">
        <f>DHWCalc_1!A34</f>
        <v>Hot Water Provided by Heat Pump</v>
      </c>
      <c r="B215" s="388" t="e">
        <f>DHWCalc_1!B34</f>
        <v>#VALUE!</v>
      </c>
      <c r="C215" s="313" t="e" cm="1">
        <f t="array" aca="1" ref="C215" ca="1">INDIRECT($F215&amp;C$198&amp;"!"&amp;$G215)</f>
        <v>#DIV/0!</v>
      </c>
      <c r="D215" s="313" t="e" cm="1">
        <f t="array" aca="1" ref="D215" ca="1">INDIRECT($F215&amp;D$198&amp;"!"&amp;$G215)</f>
        <v>#DIV/0!</v>
      </c>
      <c r="E215" s="389" t="e">
        <f t="shared" ca="1" si="10"/>
        <v>#DIV/0!</v>
      </c>
      <c r="F215" s="314" t="str">
        <f t="shared" ca="1" si="7"/>
        <v>DHWCalc_</v>
      </c>
      <c r="G215" s="314" t="str">
        <f t="shared" ca="1" si="8"/>
        <v>B34</v>
      </c>
      <c r="H215" s="315" t="str">
        <f t="shared" ca="1" si="9"/>
        <v>DHWCalc_1!B34</v>
      </c>
    </row>
    <row r="216" spans="1:8">
      <c r="A216" s="316" t="str">
        <f>DHWCalc_1!A36</f>
        <v>% Renewable</v>
      </c>
      <c r="B216" s="386">
        <f>DHWCalc_1!B36</f>
        <v>1</v>
      </c>
      <c r="C216" s="313" cm="1">
        <f t="array" aca="1" ref="C216" ca="1">INDIRECT($F216&amp;C$198&amp;"!"&amp;$G216)</f>
        <v>1</v>
      </c>
      <c r="D216" s="313" cm="1">
        <f t="array" aca="1" ref="D216" ca="1">INDIRECT($F216&amp;D$198&amp;"!"&amp;$G216)</f>
        <v>1</v>
      </c>
      <c r="E216" s="332">
        <f t="shared" ca="1" si="10"/>
        <v>1</v>
      </c>
      <c r="F216" s="314" t="str">
        <f t="shared" ca="1" si="7"/>
        <v>DHWCalc_</v>
      </c>
      <c r="G216" s="314" t="str">
        <f t="shared" ca="1" si="8"/>
        <v>B36</v>
      </c>
      <c r="H216" s="315" t="str">
        <f t="shared" ca="1" si="9"/>
        <v>DHWCalc_1!B36</v>
      </c>
    </row>
    <row r="217" spans="1:8">
      <c r="A217" s="316" t="str">
        <f>DHWCalc_1!A57</f>
        <v>SPF</v>
      </c>
      <c r="B217" s="386" t="e">
        <f>DHWCalc_1!B57</f>
        <v>#DIV/0!</v>
      </c>
      <c r="C217" s="313" t="e" cm="1">
        <f t="array" aca="1" ref="C217" ca="1">INDIRECT($F217&amp;C$198&amp;"!"&amp;$G217)</f>
        <v>#DIV/0!</v>
      </c>
      <c r="D217" s="313" t="e" cm="1">
        <f t="array" aca="1" ref="D217" ca="1">INDIRECT($F217&amp;D$198&amp;"!"&amp;$G217)</f>
        <v>#DIV/0!</v>
      </c>
      <c r="E217" s="332" t="e">
        <f t="shared" ca="1" si="10"/>
        <v>#DIV/0!</v>
      </c>
      <c r="F217" s="314" t="str">
        <f t="shared" ca="1" si="7"/>
        <v>DHWCalc_</v>
      </c>
      <c r="G217" s="314" t="str">
        <f t="shared" ca="1" si="8"/>
        <v>B57</v>
      </c>
      <c r="H217" s="315" t="str">
        <f t="shared" ca="1" si="9"/>
        <v>DHWCalc_1!B57</v>
      </c>
    </row>
    <row r="218" spans="1:8">
      <c r="A218" s="316" t="str">
        <f>DHWCalc_1!A75</f>
        <v>SPF</v>
      </c>
      <c r="B218" s="386">
        <f>DHWCalc_1!B75</f>
        <v>3.33</v>
      </c>
      <c r="C218" s="313" cm="1">
        <f t="array" aca="1" ref="C218" ca="1">INDIRECT($F218&amp;C$198&amp;"!"&amp;$G218)</f>
        <v>3.33</v>
      </c>
      <c r="D218" s="313" cm="1">
        <f t="array" aca="1" ref="D218" ca="1">INDIRECT($F218&amp;D$198&amp;"!"&amp;$G218)</f>
        <v>3.33</v>
      </c>
      <c r="E218" s="332">
        <f t="shared" ca="1" si="10"/>
        <v>3.33</v>
      </c>
      <c r="F218" s="314" t="str">
        <f t="shared" ca="1" si="7"/>
        <v>DHWCalc_</v>
      </c>
      <c r="G218" s="314" t="str">
        <f t="shared" ca="1" si="8"/>
        <v>B75</v>
      </c>
      <c r="H218" s="315" t="str">
        <f t="shared" ca="1" si="9"/>
        <v>DHWCalc_1!B75</v>
      </c>
    </row>
    <row r="219" spans="1:8">
      <c r="A219" s="316" t="str">
        <f>DHWCalc_1!U2</f>
        <v>Error - Test</v>
      </c>
      <c r="B219" s="388" t="e">
        <f>DHWCalc_1!U14</f>
        <v>#VALUE!</v>
      </c>
      <c r="C219" s="313" cm="1">
        <f t="array" aca="1" ref="C219" ca="1">INDIRECT($F219&amp;C$198&amp;"!"&amp;$G219)</f>
        <v>0</v>
      </c>
      <c r="D219" s="313" cm="1">
        <f t="array" aca="1" ref="D219" ca="1">INDIRECT($F219&amp;D$198&amp;"!"&amp;$G219)</f>
        <v>0</v>
      </c>
      <c r="E219" s="389">
        <f t="shared" ca="1" si="10"/>
        <v>0</v>
      </c>
      <c r="F219" s="314" t="str">
        <f t="shared" ca="1" si="7"/>
        <v>DHWCalc_</v>
      </c>
      <c r="G219" s="314" t="str">
        <f t="shared" ca="1" si="8"/>
        <v>U14</v>
      </c>
      <c r="H219" s="315" t="str">
        <f t="shared" ca="1" si="9"/>
        <v>DHWCalc_1!U14</v>
      </c>
    </row>
    <row r="220" spans="1:8">
      <c r="A220" s="316" t="str">
        <f>DHWCalc_1!V2</f>
        <v>Error - Dwelling</v>
      </c>
      <c r="B220" s="388">
        <f>DHWCalc_1!V14</f>
        <v>1</v>
      </c>
      <c r="C220" s="313" cm="1">
        <f t="array" aca="1" ref="C220" ca="1">INDIRECT($F220&amp;C$198&amp;"!"&amp;$G220)</f>
        <v>1</v>
      </c>
      <c r="D220" s="313" cm="1">
        <f t="array" aca="1" ref="D220" ca="1">INDIRECT($F220&amp;D$198&amp;"!"&amp;$G220)</f>
        <v>1</v>
      </c>
      <c r="E220" s="389">
        <f t="shared" ca="1" si="10"/>
        <v>1</v>
      </c>
      <c r="F220" s="314" t="str">
        <f t="shared" ca="1" si="7"/>
        <v>DHWCalc_</v>
      </c>
      <c r="G220" s="314" t="str">
        <f t="shared" ca="1" si="8"/>
        <v>V14</v>
      </c>
      <c r="H220" s="315" t="str">
        <f t="shared" ca="1" si="9"/>
        <v>DHWCalc_1!V14</v>
      </c>
    </row>
    <row r="221" spans="1:8" ht="109.9" customHeight="1">
      <c r="A221" s="316" t="s">
        <v>578</v>
      </c>
      <c r="B221" s="392" t="str">
        <f>DHWCalc_1!U16</f>
        <v>WARNING: As the test storage Volume does not meet requirements in Ecodesign Directive, the assessor must contact the manufacturer to advise that test volume is not appropriate for the declared load profile and request revised test results.</v>
      </c>
      <c r="C221" s="313" t="str" cm="1">
        <f t="array" aca="1" ref="C221" ca="1">INDIRECT($F221&amp;C$198&amp;"!"&amp;$G221)</f>
        <v>WARNING: As the test storage Volume does not meet requirements in Ecodesign Directive, the assessor must contact the manufacturer to advise that test volume is not appropriate for the declared load profile and request revised test results.</v>
      </c>
      <c r="D221" s="313" t="str" cm="1">
        <f t="array" aca="1" ref="D221" ca="1">INDIRECT($F221&amp;D$198&amp;"!"&amp;$G221)</f>
        <v>WARNING: As the test storage Volume does not meet requirements in Ecodesign Directive, the assessor must contact the manufacturer to advise that test volume is not appropriate for the declared load profile and request revised test results.</v>
      </c>
      <c r="E221" s="393" t="str">
        <f t="shared" ca="1" si="10"/>
        <v>WARNING: As the test storage Volume does not meet requirements in Ecodesign Directive, the assessor must contact the manufacturer to advise that test volume is not appropriate for the declared load profile and request revised test results.</v>
      </c>
      <c r="F221" s="314" t="str">
        <f t="shared" ca="1" si="7"/>
        <v>DHWCalc_</v>
      </c>
      <c r="G221" s="314" t="str">
        <f t="shared" ca="1" si="8"/>
        <v>U16</v>
      </c>
      <c r="H221" s="315" t="str">
        <f t="shared" ca="1" si="9"/>
        <v>DHWCalc_1!U16</v>
      </c>
    </row>
    <row r="222" spans="1:8" ht="154.15" customHeight="1">
      <c r="A222" s="316" t="s">
        <v>579</v>
      </c>
      <c r="B222" s="392" t="str">
        <f>DHWCalc_1!V16</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C222" s="313" t="str" cm="1">
        <f t="array" aca="1" ref="C222" ca="1">INDIRECT($F222&amp;C$198&amp;"!"&amp;$G222)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D222" s="313" t="str" cm="1">
        <f t="array" aca="1" ref="D222" ca="1">INDIRECT($F222&amp;D$198&amp;"!"&amp;$G222)</f>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E222" s="393" t="str">
        <f t="shared" ca="1" si="10"/>
        <v>WARNING: As the test data is not appropriate for the installation within the dwelling, the assessor must contact the client/ designer and installer, advising that the installed hot water cylinder is not appropriate for the Ecodesign Directive efficiency data and therefore the heat pump will not perform to the same efficiency.</v>
      </c>
      <c r="F222" s="314" t="str">
        <f t="shared" ca="1" si="7"/>
        <v>DHWCalc_</v>
      </c>
      <c r="G222" s="314" t="str">
        <f t="shared" ca="1" si="8"/>
        <v>V16</v>
      </c>
      <c r="H222" s="315" t="str">
        <f t="shared" ca="1" si="9"/>
        <v>DHWCalc_1!V16</v>
      </c>
    </row>
    <row r="223" spans="1:8">
      <c r="A223" s="310" t="s">
        <v>582</v>
      </c>
    </row>
    <row r="224" spans="1:8" ht="30">
      <c r="A224" s="316" t="s">
        <v>583</v>
      </c>
      <c r="B224" s="320" t="str">
        <f>SpaceStandardsID_1!A31</f>
        <v>Valid space heat pump type selected.</v>
      </c>
      <c r="C224" s="313" t="str" cm="1">
        <f t="array" aca="1" ref="C224" ca="1">INDIRECT($F224&amp;C$198&amp;"!"&amp;$G224)</f>
        <v>Valid space heat pump type selected.</v>
      </c>
      <c r="D224" s="313" t="str" cm="1">
        <f t="array" aca="1" ref="D224" ca="1">INDIRECT($F224&amp;D$198&amp;"!"&amp;$G224)</f>
        <v>Valid space heat pump type selected.</v>
      </c>
      <c r="E224" s="394" t="str">
        <f ca="1">VLOOKUP(A224,A224:D224,$G$1+1,FALSE)</f>
        <v>Valid space heat pump type selected.</v>
      </c>
      <c r="F224" s="395" t="str">
        <f t="shared" ref="F224:F229" ca="1" si="11">LEFT(H224,FIND("1",H224)-1)</f>
        <v>SpaceStandardsID_</v>
      </c>
      <c r="G224" s="314" t="str">
        <f t="shared" ref="G224:G229" ca="1" si="12">RIGHT(H224,LEN(H224)-FIND("!",H224))</f>
        <v>A31</v>
      </c>
      <c r="H224" s="315" t="str">
        <f t="shared" ref="H224:H229" ca="1" si="13">SUBSTITUTE( _xlfn.FORMULATEXT(B224),"=","")</f>
        <v>SpaceStandardsID_1!A31</v>
      </c>
    </row>
    <row r="225" spans="1:8" ht="28.5">
      <c r="A225" s="316" t="s">
        <v>584</v>
      </c>
      <c r="B225" s="320" t="str">
        <f>SpaceStandardsID_1!B31</f>
        <v>Air to Water</v>
      </c>
      <c r="C225" s="313" t="str" cm="1">
        <f t="array" aca="1" ref="C225" ca="1">INDIRECT($F225&amp;C$198&amp;"!"&amp;$G225)</f>
        <v>Air to Water</v>
      </c>
      <c r="D225" s="313" t="str" cm="1">
        <f t="array" aca="1" ref="D225" ca="1">INDIRECT($F225&amp;D$198&amp;"!"&amp;$G225)</f>
        <v>Air to Water</v>
      </c>
      <c r="E225" s="394" t="str">
        <f t="shared" ref="E225:E229" ca="1" si="14">VLOOKUP(A225,A225:D225,$G$1+1,FALSE)</f>
        <v>Air to Water</v>
      </c>
      <c r="F225" s="395" t="str">
        <f t="shared" ca="1" si="11"/>
        <v>SpaceStandardsID_</v>
      </c>
      <c r="G225" s="314" t="str">
        <f t="shared" ca="1" si="12"/>
        <v>B31</v>
      </c>
      <c r="H225" s="315" t="str">
        <f t="shared" ca="1" si="13"/>
        <v>SpaceStandardsID_1!B31</v>
      </c>
    </row>
    <row r="226" spans="1:8" ht="28.5">
      <c r="A226" s="316" t="s">
        <v>585</v>
      </c>
      <c r="B226" s="320" t="str">
        <f>SpaceStandardsID_1!C31</f>
        <v>Electricity</v>
      </c>
      <c r="C226" s="313" t="str" cm="1">
        <f t="array" aca="1" ref="C226" ca="1">INDIRECT($F226&amp;C$198&amp;"!"&amp;$G226)</f>
        <v>Electricity</v>
      </c>
      <c r="D226" s="313" t="str" cm="1">
        <f t="array" aca="1" ref="D226" ca="1">INDIRECT($F226&amp;D$198&amp;"!"&amp;$G226)</f>
        <v>Electricity</v>
      </c>
      <c r="E226" s="394" t="str">
        <f t="shared" ca="1" si="14"/>
        <v>Electricity</v>
      </c>
      <c r="F226" s="395" t="str">
        <f t="shared" ca="1" si="11"/>
        <v>SpaceStandardsID_</v>
      </c>
      <c r="G226" s="314" t="str">
        <f t="shared" ca="1" si="12"/>
        <v>C31</v>
      </c>
      <c r="H226" s="315" t="str">
        <f t="shared" ca="1" si="13"/>
        <v>SpaceStandardsID_1!C31</v>
      </c>
    </row>
    <row r="227" spans="1:8" ht="30">
      <c r="A227" s="316" t="s">
        <v>586</v>
      </c>
      <c r="B227" s="320" t="str">
        <f>SpaceStandardsID_1!D31</f>
        <v>Not low temperature heat pump</v>
      </c>
      <c r="C227" s="313" t="str" cm="1">
        <f t="array" aca="1" ref="C227" ca="1">INDIRECT($F227&amp;C$198&amp;"!"&amp;$G227)</f>
        <v>Not low temperature heat pump</v>
      </c>
      <c r="D227" s="313" t="str" cm="1">
        <f t="array" aca="1" ref="D227" ca="1">INDIRECT($F227&amp;D$198&amp;"!"&amp;$G227)</f>
        <v>Not low temperature heat pump</v>
      </c>
      <c r="E227" s="394" t="str">
        <f t="shared" ca="1" si="14"/>
        <v>Not low temperature heat pump</v>
      </c>
      <c r="F227" s="395" t="str">
        <f t="shared" ca="1" si="11"/>
        <v>SpaceStandardsID_</v>
      </c>
      <c r="G227" s="314" t="str">
        <f t="shared" ca="1" si="12"/>
        <v>D31</v>
      </c>
      <c r="H227" s="315" t="str">
        <f t="shared" ca="1" si="13"/>
        <v>SpaceStandardsID_1!D31</v>
      </c>
    </row>
    <row r="228" spans="1:8" ht="45">
      <c r="A228" s="316" t="s">
        <v>587</v>
      </c>
      <c r="B228" s="320" t="str">
        <f>SpaceStandardsID_1!E31</f>
        <v>Ecodesign applies and/or ecodesign data available</v>
      </c>
      <c r="C228" s="313" t="str" cm="1">
        <f t="array" aca="1" ref="C228" ca="1">INDIRECT($F228&amp;C$198&amp;"!"&amp;$G228)</f>
        <v>Ecodesign applies and/or ecodesign data available</v>
      </c>
      <c r="D228" s="313" t="str" cm="1">
        <f t="array" aca="1" ref="D228" ca="1">INDIRECT($F228&amp;D$198&amp;"!"&amp;$G228)</f>
        <v>Ecodesign applies and/or ecodesign data available</v>
      </c>
      <c r="E228" s="394" t="str">
        <f t="shared" ca="1" si="14"/>
        <v>Ecodesign applies and/or ecodesign data available</v>
      </c>
      <c r="F228" s="395" t="str">
        <f t="shared" ca="1" si="11"/>
        <v>SpaceStandardsID_</v>
      </c>
      <c r="G228" s="314" t="str">
        <f t="shared" ca="1" si="12"/>
        <v>E31</v>
      </c>
      <c r="H228" s="315" t="str">
        <f t="shared" ca="1" si="13"/>
        <v>SpaceStandardsID_1!E31</v>
      </c>
    </row>
    <row r="229" spans="1:8" ht="84.6" customHeight="1">
      <c r="A229" s="316" t="s">
        <v>588</v>
      </c>
      <c r="B229" s="320" t="str">
        <f>SpaceStandardsID_1!K31</f>
        <v xml:space="preserve">I.S. EN 14825
</v>
      </c>
      <c r="C229" s="313" t="str" cm="1">
        <f t="array" aca="1" ref="C229" ca="1">INDIRECT($F229&amp;C$198&amp;"!"&amp;$G229)</f>
        <v xml:space="preserve">I.S. EN 14825
</v>
      </c>
      <c r="D229" s="313" t="str" cm="1">
        <f t="array" aca="1" ref="D229" ca="1">INDIRECT($F229&amp;D$198&amp;"!"&amp;$G229)</f>
        <v xml:space="preserve">I.S. EN 14825
</v>
      </c>
      <c r="E229" s="394" t="str">
        <f t="shared" ca="1" si="14"/>
        <v xml:space="preserve">I.S. EN 14825
</v>
      </c>
      <c r="F229" s="395" t="str">
        <f t="shared" ca="1" si="11"/>
        <v>SpaceStandardsID_</v>
      </c>
      <c r="G229" s="314" t="str">
        <f t="shared" ca="1" si="12"/>
        <v>K31</v>
      </c>
      <c r="H229" s="315" t="str">
        <f t="shared" ca="1" si="13"/>
        <v>SpaceStandardsID_1!K31</v>
      </c>
    </row>
    <row r="230" spans="1:8">
      <c r="A230" s="310" t="s">
        <v>589</v>
      </c>
    </row>
    <row r="231" spans="1:8" ht="30">
      <c r="A231" s="316" t="s">
        <v>583</v>
      </c>
      <c r="B231" s="320" t="str">
        <f>WaterStandardsID_1!A17</f>
        <v>Valid water heat pump type selected.</v>
      </c>
      <c r="C231" s="313" t="str" cm="1">
        <f t="array" aca="1" ref="C231" ca="1">INDIRECT($F231&amp;C$198&amp;"!"&amp;$G231)</f>
        <v>Valid water heat pump type selected.</v>
      </c>
      <c r="D231" s="313" t="str" cm="1">
        <f t="array" aca="1" ref="D231" ca="1">INDIRECT($F231&amp;D$198&amp;"!"&amp;$G231)</f>
        <v>Valid water heat pump type selected.</v>
      </c>
      <c r="E231" s="394" t="str">
        <f ca="1">VLOOKUP(A231,A231:D231,$G$1+1,FALSE)</f>
        <v>Valid water heat pump type selected.</v>
      </c>
      <c r="F231" s="395" t="str">
        <f t="shared" ref="F231:F235" ca="1" si="15">LEFT(H231,FIND("1",H231)-1)</f>
        <v>WaterStandardsID_</v>
      </c>
      <c r="G231" s="314" t="str">
        <f t="shared" ref="G231:G235" ca="1" si="16">RIGHT(H231,LEN(H231)-FIND("!",H231))</f>
        <v>A17</v>
      </c>
      <c r="H231" s="315" t="str">
        <f t="shared" ref="H231:H235" ca="1" si="17">SUBSTITUTE( _xlfn.FORMULATEXT(B231),"=","")</f>
        <v>WaterStandardsID_1!A17</v>
      </c>
    </row>
    <row r="232" spans="1:8" ht="28.5">
      <c r="A232" s="316" t="s">
        <v>584</v>
      </c>
      <c r="B232" s="320" t="str">
        <f>WaterStandardsID_1!B16</f>
        <v>Air to Water</v>
      </c>
      <c r="C232" s="313" t="str" cm="1">
        <f t="array" aca="1" ref="C232" ca="1">INDIRECT($F232&amp;C$198&amp;"!"&amp;$G232)</f>
        <v>Air to Water</v>
      </c>
      <c r="D232" s="313" t="str" cm="1">
        <f t="array" aca="1" ref="D232" ca="1">INDIRECT($F232&amp;D$198&amp;"!"&amp;$G232)</f>
        <v>Air to Water</v>
      </c>
      <c r="E232" s="394" t="str">
        <f t="shared" ref="E232:E235" ca="1" si="18">VLOOKUP(A232,A232:D232,$G$1+1,FALSE)</f>
        <v>Air to Water</v>
      </c>
      <c r="F232" s="395" t="str">
        <f t="shared" ca="1" si="15"/>
        <v>WaterStandardsID_</v>
      </c>
      <c r="G232" s="314" t="str">
        <f t="shared" ca="1" si="16"/>
        <v>B16</v>
      </c>
      <c r="H232" s="315" t="str">
        <f t="shared" ca="1" si="17"/>
        <v>WaterStandardsID_1!B16</v>
      </c>
    </row>
    <row r="233" spans="1:8" ht="28.5">
      <c r="A233" s="316" t="s">
        <v>585</v>
      </c>
      <c r="B233" s="320" t="str">
        <f>WaterStandardsID_1!C16</f>
        <v>Electricity</v>
      </c>
      <c r="C233" s="313" t="str" cm="1">
        <f t="array" aca="1" ref="C233" ca="1">INDIRECT($F233&amp;C$198&amp;"!"&amp;$G233)</f>
        <v>Electricity</v>
      </c>
      <c r="D233" s="313" t="str" cm="1">
        <f t="array" aca="1" ref="D233" ca="1">INDIRECT($F233&amp;D$198&amp;"!"&amp;$G233)</f>
        <v>Electricity</v>
      </c>
      <c r="E233" s="394" t="str">
        <f t="shared" ca="1" si="18"/>
        <v>Electricity</v>
      </c>
      <c r="F233" s="395" t="str">
        <f t="shared" ca="1" si="15"/>
        <v>WaterStandardsID_</v>
      </c>
      <c r="G233" s="314" t="str">
        <f t="shared" ca="1" si="16"/>
        <v>C16</v>
      </c>
      <c r="H233" s="315" t="str">
        <f t="shared" ca="1" si="17"/>
        <v>WaterStandardsID_1!C16</v>
      </c>
    </row>
    <row r="234" spans="1:8" ht="45">
      <c r="A234" s="316" t="s">
        <v>587</v>
      </c>
      <c r="B234" s="396" t="str">
        <f>WaterStandardsID_1!D16</f>
        <v>Ecodesign applies and/or ecodesign data available</v>
      </c>
      <c r="C234" s="313" t="str" cm="1">
        <f t="array" aca="1" ref="C234" ca="1">INDIRECT($F234&amp;C$198&amp;"!"&amp;$G234)</f>
        <v>Ecodesign applies and/or ecodesign data available</v>
      </c>
      <c r="D234" s="313" t="str" cm="1">
        <f t="array" aca="1" ref="D234" ca="1">INDIRECT($F234&amp;D$198&amp;"!"&amp;$G234)</f>
        <v>Ecodesign applies and/or ecodesign data available</v>
      </c>
      <c r="E234" s="394" t="str">
        <f t="shared" ca="1" si="18"/>
        <v>Ecodesign applies and/or ecodesign data available</v>
      </c>
      <c r="F234" s="395" t="str">
        <f t="shared" ca="1" si="15"/>
        <v>WaterStandardsID_</v>
      </c>
      <c r="G234" s="314" t="str">
        <f t="shared" ca="1" si="16"/>
        <v>D16</v>
      </c>
      <c r="H234" s="315" t="str">
        <f t="shared" ca="1" si="17"/>
        <v>WaterStandardsID_1!D16</v>
      </c>
    </row>
    <row r="235" spans="1:8" ht="90.6" customHeight="1">
      <c r="A235" s="316" t="s">
        <v>588</v>
      </c>
      <c r="B235" s="320" t="str">
        <f>WaterStandardsID_1!J16</f>
        <v>I.S. EN 16147
I.S. EN 14825/14511</v>
      </c>
      <c r="C235" s="313" t="str" cm="1">
        <f t="array" aca="1" ref="C235" ca="1">INDIRECT($F235&amp;C$198&amp;"!"&amp;$G235)</f>
        <v>I.S. EN 16147
I.S. EN 14825/14511</v>
      </c>
      <c r="D235" s="313" t="str" cm="1">
        <f t="array" aca="1" ref="D235" ca="1">INDIRECT($F235&amp;D$198&amp;"!"&amp;$G235)</f>
        <v>I.S. EN 16147
I.S. EN 14825/14511</v>
      </c>
      <c r="E235" s="394" t="str">
        <f t="shared" ca="1" si="18"/>
        <v>I.S. EN 16147
I.S. EN 14825/14511</v>
      </c>
      <c r="F235" s="395" t="str">
        <f t="shared" ca="1" si="15"/>
        <v>WaterStandardsID_</v>
      </c>
      <c r="G235" s="314" t="str">
        <f t="shared" ca="1" si="16"/>
        <v>J16</v>
      </c>
      <c r="H235" s="315" t="str">
        <f t="shared" ca="1" si="17"/>
        <v>WaterStandardsID_1!J16</v>
      </c>
    </row>
  </sheetData>
  <sheetProtection algorithmName="SHA-512" hashValue="b0YyCi5h/+TcYAH02BBCLrt5HrqiSYWuqKjJrD2XA+ycG6FRCKa/FzNNJclVLMx06xnLUFhLwIAMOOsHJAVebw==" saltValue="6VgsnYM39Mi7CKCIlumhAA==" spinCount="100000" sheet="1" objects="1" scenarios="1"/>
  <mergeCells count="72">
    <mergeCell ref="D13:F13"/>
    <mergeCell ref="D2:G2"/>
    <mergeCell ref="D3:G3"/>
    <mergeCell ref="D4:G4"/>
    <mergeCell ref="D5:G5"/>
    <mergeCell ref="D6:G6"/>
    <mergeCell ref="D7:G7"/>
    <mergeCell ref="D8:G8"/>
    <mergeCell ref="C9:I9"/>
    <mergeCell ref="D10:F10"/>
    <mergeCell ref="D11:F11"/>
    <mergeCell ref="D12:F12"/>
    <mergeCell ref="D29:F29"/>
    <mergeCell ref="D14:F14"/>
    <mergeCell ref="D15:F15"/>
    <mergeCell ref="D16:F16"/>
    <mergeCell ref="D17:F17"/>
    <mergeCell ref="D18:F18"/>
    <mergeCell ref="D19:F19"/>
    <mergeCell ref="D22:F22"/>
    <mergeCell ref="D24:F24"/>
    <mergeCell ref="D25:F25"/>
    <mergeCell ref="D26:F26"/>
    <mergeCell ref="D27:F27"/>
    <mergeCell ref="A58:A59"/>
    <mergeCell ref="D31:F31"/>
    <mergeCell ref="D32:F32"/>
    <mergeCell ref="D33:F33"/>
    <mergeCell ref="D35:F35"/>
    <mergeCell ref="A38:A41"/>
    <mergeCell ref="D38:F41"/>
    <mergeCell ref="G38:G41"/>
    <mergeCell ref="D42:F42"/>
    <mergeCell ref="A46:A47"/>
    <mergeCell ref="A50:A51"/>
    <mergeCell ref="A54:A55"/>
    <mergeCell ref="D73:F73"/>
    <mergeCell ref="C62:I62"/>
    <mergeCell ref="D63:F63"/>
    <mergeCell ref="D64:F64"/>
    <mergeCell ref="D65:F65"/>
    <mergeCell ref="D66:F66"/>
    <mergeCell ref="D67:F67"/>
    <mergeCell ref="D68:F68"/>
    <mergeCell ref="D69:F69"/>
    <mergeCell ref="D70:F70"/>
    <mergeCell ref="D71:F71"/>
    <mergeCell ref="D72:F72"/>
    <mergeCell ref="D89:F89"/>
    <mergeCell ref="D74:F74"/>
    <mergeCell ref="D75:F75"/>
    <mergeCell ref="D77:F77"/>
    <mergeCell ref="D80:G80"/>
    <mergeCell ref="D81:F81"/>
    <mergeCell ref="D82:F82"/>
    <mergeCell ref="D84:F84"/>
    <mergeCell ref="D85:F85"/>
    <mergeCell ref="D86:F86"/>
    <mergeCell ref="D87:F87"/>
    <mergeCell ref="D88:F88"/>
    <mergeCell ref="D109:F109"/>
    <mergeCell ref="D90:G90"/>
    <mergeCell ref="D93:F93"/>
    <mergeCell ref="D94:F94"/>
    <mergeCell ref="D95:F95"/>
    <mergeCell ref="D96:F96"/>
    <mergeCell ref="D100:F100"/>
    <mergeCell ref="D101:F101"/>
    <mergeCell ref="D102:F102"/>
    <mergeCell ref="D106:F106"/>
    <mergeCell ref="D107:F107"/>
    <mergeCell ref="D108:F108"/>
  </mergeCells>
  <conditionalFormatting sqref="B100:B102">
    <cfRule type="expression" dxfId="61" priority="53" stopIfTrue="1">
      <formula>$B$68&lt;&gt;"I.S. EN 255-3"</formula>
    </cfRule>
  </conditionalFormatting>
  <conditionalFormatting sqref="B33:B36">
    <cfRule type="expression" dxfId="60" priority="49">
      <formula>$B$32="No"</formula>
    </cfRule>
  </conditionalFormatting>
  <conditionalFormatting sqref="B75:B78">
    <cfRule type="expression" dxfId="59" priority="50" stopIfTrue="1">
      <formula>$B$74="No"</formula>
    </cfRule>
  </conditionalFormatting>
  <conditionalFormatting sqref="A38:G59">
    <cfRule type="expression" dxfId="58" priority="51">
      <formula>OR($B$14="I.S. EN 14511")</formula>
    </cfRule>
  </conditionalFormatting>
  <conditionalFormatting sqref="B92:B96">
    <cfRule type="expression" dxfId="57" priority="52" stopIfTrue="1">
      <formula>AND($B$14&lt;&gt;"I.S. EN 14511",$B$68&lt;&gt;"I.S. EN 14511")</formula>
    </cfRule>
  </conditionalFormatting>
  <conditionalFormatting sqref="B13">
    <cfRule type="expression" dxfId="56" priority="54" stopIfTrue="1">
      <formula>$B$14="I.S. EN 14511"</formula>
    </cfRule>
  </conditionalFormatting>
  <conditionalFormatting sqref="B14">
    <cfRule type="expression" dxfId="55" priority="55" stopIfTrue="1">
      <formula>#REF!="Domestic Hot Water"</formula>
    </cfRule>
  </conditionalFormatting>
  <conditionalFormatting sqref="B32:F36 B15:B16">
    <cfRule type="expression" dxfId="54" priority="56">
      <formula>OR($B$14="I.S. EN 14511")</formula>
    </cfRule>
  </conditionalFormatting>
  <conditionalFormatting sqref="B74 B70">
    <cfRule type="expression" dxfId="53" priority="57" stopIfTrue="1">
      <formula>OR(#REF!="Space Heating")</formula>
    </cfRule>
  </conditionalFormatting>
  <conditionalFormatting sqref="C48:G51">
    <cfRule type="expression" dxfId="52" priority="48">
      <formula>$C$40="No"</formula>
    </cfRule>
  </conditionalFormatting>
  <conditionalFormatting sqref="B19">
    <cfRule type="expression" dxfId="51" priority="58" stopIfTrue="1">
      <formula>#REF!="Domestic Hot Water"</formula>
    </cfRule>
  </conditionalFormatting>
  <conditionalFormatting sqref="B73">
    <cfRule type="expression" dxfId="50" priority="59" stopIfTrue="1">
      <formula>OR(#REF!="Space Heating",#REF!="I.S. EN 14511",#REF!="I.S. EN 255-3",$B$70="No Hot Water Store")</formula>
    </cfRule>
  </conditionalFormatting>
  <conditionalFormatting sqref="B73">
    <cfRule type="expression" dxfId="49" priority="60" stopIfTrue="1">
      <formula>OR(#REF!="I.S. EN 14511",#REF!="I.S. EN 255-3",#REF!="Space heating",$B$70="No Hot Water Store")</formula>
    </cfRule>
  </conditionalFormatting>
  <conditionalFormatting sqref="B29">
    <cfRule type="expression" dxfId="48" priority="61" stopIfTrue="1">
      <formula>AND($B$14="I.S. EN 14511",$B$68="I.S. EN 14511")</formula>
    </cfRule>
  </conditionalFormatting>
  <conditionalFormatting sqref="B83:B89">
    <cfRule type="expression" dxfId="47" priority="62" stopIfTrue="1">
      <formula>OR($B$68="I.S. EN 255-3",$B$68="I.S. EN 14511")</formula>
    </cfRule>
  </conditionalFormatting>
  <conditionalFormatting sqref="D91:F97 D90">
    <cfRule type="expression" dxfId="46" priority="47">
      <formula>OR(#REF!="Space heating",#REF!="I.S. EN 14511",#REF!="I.S. EN 255-3")</formula>
    </cfRule>
  </conditionalFormatting>
  <conditionalFormatting sqref="B74">
    <cfRule type="expression" dxfId="45" priority="46">
      <formula>#REF!="I.S. EN 14511"</formula>
    </cfRule>
  </conditionalFormatting>
  <conditionalFormatting sqref="B82">
    <cfRule type="expression" dxfId="44" priority="45" stopIfTrue="1">
      <formula>OR($B$68="I.S. EN 255-3",$B$68="I.S. EN 14511")</formula>
    </cfRule>
  </conditionalFormatting>
  <conditionalFormatting sqref="B81">
    <cfRule type="expression" dxfId="43" priority="44">
      <formula>OR($B$68="I.S. EN 255-3",$B$68="I.S. EN 14511")</formula>
    </cfRule>
  </conditionalFormatting>
  <conditionalFormatting sqref="B66">
    <cfRule type="expression" dxfId="42" priority="42" stopIfTrue="1">
      <formula>$B$14="I.S. EN 14511"</formula>
    </cfRule>
  </conditionalFormatting>
  <conditionalFormatting sqref="B68">
    <cfRule type="expression" dxfId="41" priority="43" stopIfTrue="1">
      <formula>#REF!="Space heating"</formula>
    </cfRule>
  </conditionalFormatting>
  <conditionalFormatting sqref="B17">
    <cfRule type="expression" dxfId="40" priority="41" stopIfTrue="1">
      <formula>OR($B$14="I.S. EN 14511",#REF!="Domestic Hot Water")</formula>
    </cfRule>
  </conditionalFormatting>
  <conditionalFormatting sqref="B69">
    <cfRule type="expression" dxfId="39" priority="40" stopIfTrue="1">
      <formula>OR($B$14="I.S. EN 14511",#REF!="Domestic Hot Water")</formula>
    </cfRule>
  </conditionalFormatting>
  <conditionalFormatting sqref="C56:G59">
    <cfRule type="expression" dxfId="38" priority="39">
      <formula>$C$41="No"</formula>
    </cfRule>
  </conditionalFormatting>
  <conditionalFormatting sqref="C9 A37:G38 A10:I36 A39:I61">
    <cfRule type="expression" dxfId="37" priority="38">
      <formula>$N$10=FALSE</formula>
    </cfRule>
  </conditionalFormatting>
  <conditionalFormatting sqref="A99:I102 C62 A69:H69 A63:I68 A70:I90">
    <cfRule type="expression" dxfId="36" priority="37">
      <formula>$N$11=FALSE</formula>
    </cfRule>
  </conditionalFormatting>
  <conditionalFormatting sqref="B8">
    <cfRule type="expression" dxfId="35" priority="36" stopIfTrue="1">
      <formula>OR($B$14="I.S. EN 14511")</formula>
    </cfRule>
  </conditionalFormatting>
  <conditionalFormatting sqref="A8:G8">
    <cfRule type="expression" dxfId="34" priority="35">
      <formula>$B$5="No"</formula>
    </cfRule>
  </conditionalFormatting>
  <conditionalFormatting sqref="C38">
    <cfRule type="expression" dxfId="33" priority="34">
      <formula>OR($B$14="I.S. EN 14511")</formula>
    </cfRule>
  </conditionalFormatting>
  <conditionalFormatting sqref="D38:G41 A38:A41 C42 B42:B43 A45:A47 A49:A55 A57:A59">
    <cfRule type="expression" dxfId="32" priority="33">
      <formula>OR($G$25=$T$3,$B$27=$P$2)</formula>
    </cfRule>
  </conditionalFormatting>
  <conditionalFormatting sqref="A56">
    <cfRule type="expression" dxfId="31" priority="32">
      <formula>$N$10=FALSE</formula>
    </cfRule>
  </conditionalFormatting>
  <conditionalFormatting sqref="A66">
    <cfRule type="expression" dxfId="30" priority="31">
      <formula>$N$11=FALSE</formula>
    </cfRule>
  </conditionalFormatting>
  <conditionalFormatting sqref="B63:B64">
    <cfRule type="expression" dxfId="29" priority="30">
      <formula>$N$10=FALSE</formula>
    </cfRule>
  </conditionalFormatting>
  <conditionalFormatting sqref="C9:I9">
    <cfRule type="containsText" dxfId="28" priority="29" operator="containsText" text="Error">
      <formula>NOT(ISERROR(SEARCH("Error",C9)))</formula>
    </cfRule>
  </conditionalFormatting>
  <conditionalFormatting sqref="C62:I62">
    <cfRule type="containsText" dxfId="27" priority="28" operator="containsText" text="ERROR">
      <formula>NOT(ISERROR(SEARCH("ERROR",C62)))</formula>
    </cfRule>
  </conditionalFormatting>
  <conditionalFormatting sqref="B16">
    <cfRule type="expression" dxfId="26" priority="27">
      <formula>($B$24="Yesnextversion")</formula>
    </cfRule>
  </conditionalFormatting>
  <conditionalFormatting sqref="J37">
    <cfRule type="expression" dxfId="25" priority="26">
      <formula>OR($B$14="I.S. EN 14511")</formula>
    </cfRule>
  </conditionalFormatting>
  <conditionalFormatting sqref="J37">
    <cfRule type="expression" dxfId="24" priority="25">
      <formula>$N$10=FALSE</formula>
    </cfRule>
  </conditionalFormatting>
  <conditionalFormatting sqref="J38">
    <cfRule type="expression" dxfId="23" priority="24">
      <formula>OR($B$14="I.S. EN 14511")</formula>
    </cfRule>
  </conditionalFormatting>
  <conditionalFormatting sqref="J38">
    <cfRule type="expression" dxfId="22" priority="23">
      <formula>$N$10=FALSE</formula>
    </cfRule>
  </conditionalFormatting>
  <conditionalFormatting sqref="J39">
    <cfRule type="expression" dxfId="21" priority="22">
      <formula>OR($B$14="I.S. EN 14511")</formula>
    </cfRule>
  </conditionalFormatting>
  <conditionalFormatting sqref="J39">
    <cfRule type="expression" dxfId="20" priority="21">
      <formula>$N$10=FALSE</formula>
    </cfRule>
  </conditionalFormatting>
  <conditionalFormatting sqref="H37">
    <cfRule type="expression" dxfId="19" priority="20">
      <formula>OR($B$14="I.S. EN 14511")</formula>
    </cfRule>
  </conditionalFormatting>
  <conditionalFormatting sqref="H37">
    <cfRule type="expression" dxfId="18" priority="19">
      <formula>$N$10=FALSE</formula>
    </cfRule>
  </conditionalFormatting>
  <conditionalFormatting sqref="I37">
    <cfRule type="expression" dxfId="17" priority="18">
      <formula>OR($B$14="I.S. EN 14511")</formula>
    </cfRule>
  </conditionalFormatting>
  <conditionalFormatting sqref="I37">
    <cfRule type="expression" dxfId="16" priority="17">
      <formula>$N$10=FALSE</formula>
    </cfRule>
  </conditionalFormatting>
  <conditionalFormatting sqref="H38">
    <cfRule type="expression" dxfId="15" priority="16">
      <formula>OR($B$14="I.S. EN 14511")</formula>
    </cfRule>
  </conditionalFormatting>
  <conditionalFormatting sqref="H38">
    <cfRule type="expression" dxfId="14" priority="15">
      <formula>$N$10=FALSE</formula>
    </cfRule>
  </conditionalFormatting>
  <conditionalFormatting sqref="I38">
    <cfRule type="expression" dxfId="13" priority="14">
      <formula>OR($B$14="I.S. EN 14511")</formula>
    </cfRule>
  </conditionalFormatting>
  <conditionalFormatting sqref="I38">
    <cfRule type="expression" dxfId="12" priority="13">
      <formula>$N$10=FALSE</formula>
    </cfRule>
  </conditionalFormatting>
  <conditionalFormatting sqref="J40">
    <cfRule type="expression" dxfId="11" priority="12">
      <formula>OR($B$14="I.S. EN 14511")</formula>
    </cfRule>
  </conditionalFormatting>
  <conditionalFormatting sqref="J40">
    <cfRule type="expression" dxfId="10" priority="11">
      <formula>$N$10=FALSE</formula>
    </cfRule>
  </conditionalFormatting>
  <conditionalFormatting sqref="J41">
    <cfRule type="expression" dxfId="9" priority="10">
      <formula>OR($B$14="I.S. EN 14511")</formula>
    </cfRule>
  </conditionalFormatting>
  <conditionalFormatting sqref="J41">
    <cfRule type="expression" dxfId="8" priority="9">
      <formula>$N$10=FALSE</formula>
    </cfRule>
  </conditionalFormatting>
  <conditionalFormatting sqref="D14:F14">
    <cfRule type="containsText" dxfId="7" priority="8" operator="containsText" text="ERROR">
      <formula>NOT(ISERROR(SEARCH("ERROR",D14)))</formula>
    </cfRule>
  </conditionalFormatting>
  <conditionalFormatting sqref="D68:F68">
    <cfRule type="containsText" dxfId="6" priority="7" operator="containsText" text="ERROR">
      <formula>NOT(ISERROR(SEARCH("ERROR",D68)))</formula>
    </cfRule>
  </conditionalFormatting>
  <conditionalFormatting sqref="I68">
    <cfRule type="expression" dxfId="5" priority="6" stopIfTrue="1">
      <formula>OR($B$14="I.S. EN 14511",#REF!="Domestic Hot Water")</formula>
    </cfRule>
  </conditionalFormatting>
  <conditionalFormatting sqref="J67">
    <cfRule type="expression" dxfId="4" priority="5">
      <formula>$N$11=FALSE</formula>
    </cfRule>
  </conditionalFormatting>
  <conditionalFormatting sqref="J68">
    <cfRule type="expression" dxfId="3" priority="4" stopIfTrue="1">
      <formula>OR($B$14="I.S. EN 14511",#REF!="Domestic Hot Water")</formula>
    </cfRule>
  </conditionalFormatting>
  <conditionalFormatting sqref="J68">
    <cfRule type="expression" dxfId="2" priority="3">
      <formula>$N$11=FALSE</formula>
    </cfRule>
  </conditionalFormatting>
  <conditionalFormatting sqref="C52:G55">
    <cfRule type="expression" dxfId="1" priority="2">
      <formula>$C$38="No"</formula>
    </cfRule>
  </conditionalFormatting>
  <conditionalFormatting sqref="C44:G47">
    <cfRule type="expression" dxfId="0" priority="1">
      <formula>$C$39="No"</formula>
    </cfRule>
  </conditionalFormatting>
  <dataValidations count="18">
    <dataValidation type="list" allowBlank="1" showInputMessage="1" showErrorMessage="1" sqref="B81" xr:uid="{A09F3331-A231-4083-8745-7C8D36D6A6DB}">
      <formula1>$AR$1:$AR$2</formula1>
    </dataValidation>
    <dataValidation type="list" allowBlank="1" showInputMessage="1" showErrorMessage="1" sqref="B87" xr:uid="{3F4B8424-E7AC-401B-A4F8-4B601C599933}">
      <formula1>$AL$1:$AL$11</formula1>
    </dataValidation>
    <dataValidation type="list" allowBlank="1" showInputMessage="1" showErrorMessage="1" sqref="B29" xr:uid="{2783DD30-83B7-46D8-8AFF-6BCC17DADFFB}">
      <formula1>$AP$1:$AP$3</formula1>
    </dataValidation>
    <dataValidation type="list" allowBlank="1" showInputMessage="1" showErrorMessage="1" sqref="B70" xr:uid="{746E887D-85D6-4D23-A8BC-816E6CE9711B}">
      <formula1>$AG$1:$AG$4</formula1>
    </dataValidation>
    <dataValidation type="list" allowBlank="1" showInputMessage="1" showErrorMessage="1" sqref="B33 B75" xr:uid="{2015EAB9-C685-4805-BEA0-CAF18EF99E1A}">
      <formula1>$W$2:$W$12</formula1>
    </dataValidation>
    <dataValidation type="list" allowBlank="1" showInputMessage="1" showErrorMessage="1" sqref="B13 B66" xr:uid="{713387F0-62FC-49AB-98F5-B7F506E20DE0}">
      <formula1>$Z$1:$Z$2</formula1>
    </dataValidation>
    <dataValidation type="list" allowBlank="1" showInputMessage="1" showErrorMessage="1" sqref="B67" xr:uid="{666374DC-2EB9-456B-A4E4-BFC9A68B8252}">
      <formula1>$P$2:$P$3</formula1>
    </dataValidation>
    <dataValidation type="decimal" allowBlank="1" showInputMessage="1" showErrorMessage="1" errorTitle="Design Flow Temperature" error="The design flow temperature must be between 20oC and 65oC" sqref="B25" xr:uid="{0B6711CE-7EF5-4217-8D5C-EF52443153BD}">
      <formula1>20</formula1>
      <formula2>65</formula2>
    </dataValidation>
    <dataValidation allowBlank="1" showInputMessage="1" showErrorMessage="1" errorTitle="Design Flow Temperature" error="The design flow temperature must be between 35oC and 55oC" sqref="B20" xr:uid="{AB9CE470-E750-4E42-BDC1-5201BA1F468C}"/>
    <dataValidation type="list" allowBlank="1" showInputMessage="1" showErrorMessage="1" sqref="B94:B96 B32 B92 C38:C41 B74 B21:B23" xr:uid="{32AFF047-2D82-4A63-9073-E18586CC8DB6}">
      <formula1>$AB$1:$AB$2</formula1>
    </dataValidation>
    <dataValidation type="list" allowBlank="1" showInputMessage="1" showErrorMessage="1" sqref="G12" xr:uid="{5EEE7DA5-38EB-49A6-9629-BCF5C9ACCBED}">
      <formula1>$T$2:$T$3</formula1>
    </dataValidation>
    <dataValidation type="list" allowBlank="1" showInputMessage="1" showErrorMessage="1" sqref="G11 G63" xr:uid="{22A59D54-EB24-4D0C-B812-FBAAE90964ED}">
      <formula1>$Q$2:$Q$3</formula1>
    </dataValidation>
    <dataValidation type="list" allowBlank="1" showInputMessage="1" showErrorMessage="1" sqref="G10" xr:uid="{2DF3530F-C0C7-4AED-8502-892FD5F5F2D8}">
      <formula1>$R$1:$R$2</formula1>
    </dataValidation>
    <dataValidation type="list" allowBlank="1" showInputMessage="1" showErrorMessage="1" sqref="B65" xr:uid="{61B0A259-554F-4F06-9714-CDB832353D3B}">
      <formula1>$S$1:$S$5</formula1>
    </dataValidation>
    <dataValidation type="list" allowBlank="1" showInputMessage="1" showErrorMessage="1" sqref="B12" xr:uid="{82495739-F980-47D9-AF4A-4BA91845B77C}">
      <formula1>$S$1:$S$9</formula1>
    </dataValidation>
    <dataValidation type="list" allowBlank="1" showInputMessage="1" showErrorMessage="1" sqref="B68" xr:uid="{3267EED0-9167-4855-8979-03843B00BABA}">
      <formula1>$N$4:$N$8</formula1>
    </dataValidation>
    <dataValidation type="list" allowBlank="1" showInputMessage="1" showErrorMessage="1" sqref="B14" xr:uid="{1F6A734F-107E-4D7A-8E3D-4FAE10A09176}">
      <formula1>$N$1:$N$4</formula1>
    </dataValidation>
    <dataValidation type="list" allowBlank="1" showInputMessage="1" showErrorMessage="1" sqref="G64" xr:uid="{009EA1C5-31C1-473B-AF2D-048354DBFC70}">
      <formula1>$T$2:$T$2</formula1>
    </dataValidation>
  </dataValidations>
  <pageMargins left="0.75" right="0.75" top="1" bottom="1" header="0.5" footer="0.5"/>
  <pageSetup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AK161"/>
  <sheetViews>
    <sheetView zoomScaleNormal="100" workbookViewId="0">
      <selection activeCell="C37" sqref="C37"/>
    </sheetView>
  </sheetViews>
  <sheetFormatPr defaultColWidth="9.140625" defaultRowHeight="12.75"/>
  <cols>
    <col min="1" max="1" width="47.140625" style="571" customWidth="1"/>
    <col min="2" max="2" width="39" style="571" customWidth="1"/>
    <col min="3" max="3" width="9.5703125" style="571" bestFit="1" customWidth="1"/>
    <col min="4" max="4" width="11.7109375" style="571" bestFit="1" customWidth="1"/>
    <col min="5" max="7" width="15" style="571" customWidth="1"/>
    <col min="8" max="8" width="11.85546875" style="571" customWidth="1"/>
    <col min="9" max="9" width="73.28515625" style="571" customWidth="1"/>
    <col min="10" max="10" width="35.28515625" style="571" customWidth="1"/>
    <col min="11" max="11" width="14.7109375" style="571" customWidth="1"/>
    <col min="12" max="12" width="36.140625" style="578" customWidth="1"/>
    <col min="13" max="13" width="14.7109375" style="571" customWidth="1"/>
    <col min="14" max="14" width="9.140625" style="571"/>
    <col min="15" max="15" width="15.85546875" style="571" customWidth="1"/>
    <col min="16" max="16" width="15.5703125" style="571" customWidth="1"/>
    <col min="17" max="19" width="16.85546875" style="571" customWidth="1"/>
    <col min="20" max="20" width="20" style="571" customWidth="1"/>
    <col min="21" max="21" width="18.5703125" style="571" customWidth="1"/>
    <col min="22" max="22" width="11.28515625" style="571" customWidth="1"/>
    <col min="23" max="23" width="10.85546875" style="571" customWidth="1"/>
    <col min="24" max="24" width="9.140625" style="571"/>
    <col min="25" max="25" width="11.7109375" style="571" customWidth="1"/>
    <col min="26" max="27" width="14.7109375" style="571" customWidth="1"/>
    <col min="28" max="28" width="12.7109375" style="571" customWidth="1"/>
    <col min="29" max="29" width="26" style="578" customWidth="1"/>
    <col min="30" max="31" width="11.42578125" style="571" customWidth="1"/>
    <col min="32" max="16384" width="9.140625" style="571"/>
  </cols>
  <sheetData>
    <row r="1" spans="1:35" ht="18.75" thickBot="1">
      <c r="A1" s="570" t="s">
        <v>197</v>
      </c>
      <c r="C1" s="571" t="s">
        <v>198</v>
      </c>
      <c r="D1" s="571" t="s">
        <v>199</v>
      </c>
      <c r="E1" s="571" t="s">
        <v>200</v>
      </c>
      <c r="F1" s="571" t="s">
        <v>201</v>
      </c>
      <c r="G1" s="571" t="s">
        <v>202</v>
      </c>
      <c r="H1" s="571" t="s">
        <v>46</v>
      </c>
      <c r="I1" s="572" t="s">
        <v>203</v>
      </c>
      <c r="J1" s="292" t="s">
        <v>509</v>
      </c>
      <c r="K1" s="293">
        <v>1</v>
      </c>
      <c r="L1" s="51"/>
      <c r="M1" s="573"/>
      <c r="N1" s="52"/>
      <c r="O1" s="571" t="s">
        <v>204</v>
      </c>
      <c r="P1" s="571" t="s">
        <v>1</v>
      </c>
      <c r="Q1" s="571" t="s">
        <v>1</v>
      </c>
      <c r="T1" s="574" t="e">
        <f>IF(E111=24,(1-AG24)*H8,IF(E111=16,(1-AH24)*H8,(1-AI24)*H8))</f>
        <v>#VALUE!</v>
      </c>
      <c r="U1" s="574">
        <f>H12</f>
        <v>0</v>
      </c>
      <c r="AA1" s="571" t="e">
        <f>IF(E111=24,(AG24)*H8,IF(E111=16,(AH24)*H8,(AI24)*H8))</f>
        <v>#VALUE!</v>
      </c>
      <c r="AC1" s="51"/>
      <c r="AD1" s="573"/>
    </row>
    <row r="2" spans="1:35" ht="27.6" customHeight="1">
      <c r="A2" s="571" t="s">
        <v>205</v>
      </c>
      <c r="B2" s="575" t="s">
        <v>493</v>
      </c>
      <c r="C2" s="576" t="s">
        <v>206</v>
      </c>
      <c r="D2" s="576" t="s">
        <v>207</v>
      </c>
      <c r="E2" s="576" t="s">
        <v>208</v>
      </c>
      <c r="F2" s="576" t="s">
        <v>209</v>
      </c>
      <c r="G2" s="576" t="s">
        <v>210</v>
      </c>
      <c r="J2" s="577"/>
      <c r="K2" s="572"/>
      <c r="M2" s="572"/>
      <c r="AD2" s="572" t="s">
        <v>1</v>
      </c>
    </row>
    <row r="3" spans="1:35" ht="69.599999999999994" customHeight="1">
      <c r="A3" s="571" t="s">
        <v>211</v>
      </c>
      <c r="B3" s="571" t="s">
        <v>212</v>
      </c>
      <c r="C3" s="574" t="str">
        <f>E101</f>
        <v xml:space="preserve"> </v>
      </c>
      <c r="D3" s="571">
        <v>-7</v>
      </c>
      <c r="E3" s="571">
        <v>2</v>
      </c>
      <c r="F3" s="571">
        <v>7</v>
      </c>
      <c r="G3" s="571">
        <v>12</v>
      </c>
      <c r="I3" s="579" t="str">
        <f>"Based on standard "&amp;E100</f>
        <v>Based on standard I.S. EN 14825</v>
      </c>
      <c r="J3" s="577"/>
      <c r="K3" s="572"/>
      <c r="M3" s="572" t="s">
        <v>213</v>
      </c>
      <c r="N3" s="577" t="s">
        <v>174</v>
      </c>
      <c r="O3" s="578" t="s">
        <v>214</v>
      </c>
      <c r="P3" s="578" t="s">
        <v>215</v>
      </c>
      <c r="Q3" s="578" t="s">
        <v>216</v>
      </c>
      <c r="R3" s="578" t="s">
        <v>217</v>
      </c>
      <c r="S3" s="578" t="s">
        <v>218</v>
      </c>
      <c r="T3" s="578" t="s">
        <v>219</v>
      </c>
      <c r="U3" s="578" t="s">
        <v>220</v>
      </c>
      <c r="V3" s="578" t="s">
        <v>221</v>
      </c>
      <c r="W3" s="580" t="s">
        <v>412</v>
      </c>
      <c r="X3" s="580" t="s">
        <v>413</v>
      </c>
      <c r="Y3" s="580" t="s">
        <v>414</v>
      </c>
      <c r="Z3" s="580" t="s">
        <v>415</v>
      </c>
      <c r="AA3" s="577" t="s">
        <v>222</v>
      </c>
      <c r="AB3" s="577" t="s">
        <v>223</v>
      </c>
      <c r="AC3" s="577" t="s">
        <v>224</v>
      </c>
      <c r="AD3" s="572"/>
      <c r="AF3" s="774" t="s">
        <v>225</v>
      </c>
      <c r="AG3" s="774"/>
      <c r="AH3" s="774"/>
      <c r="AI3" s="774"/>
    </row>
    <row r="4" spans="1:35" ht="14.25">
      <c r="A4" s="572" t="s">
        <v>226</v>
      </c>
      <c r="B4" s="571" t="s">
        <v>227</v>
      </c>
      <c r="C4" s="571">
        <v>-12</v>
      </c>
      <c r="D4" s="571" t="e">
        <f>(C3+D3)/2</f>
        <v>#VALUE!</v>
      </c>
      <c r="E4" s="571">
        <f>(D3+E3)/2</f>
        <v>-2.5</v>
      </c>
      <c r="F4" s="571">
        <f>(E3+F3)/2</f>
        <v>4.5</v>
      </c>
      <c r="G4" s="571">
        <f>(F3+G3)/2</f>
        <v>9.5</v>
      </c>
      <c r="I4" s="579" t="s">
        <v>395</v>
      </c>
      <c r="J4" s="577"/>
      <c r="K4" s="572"/>
      <c r="M4" s="581" t="str">
        <f>C3</f>
        <v xml:space="preserve"> </v>
      </c>
      <c r="N4" s="574">
        <f>C41</f>
        <v>0</v>
      </c>
      <c r="O4" s="582">
        <v>-12</v>
      </c>
      <c r="P4" s="583">
        <f>'Meteorological data'!F4</f>
        <v>0</v>
      </c>
      <c r="Q4" s="583">
        <f>'Meteorological data'!G4</f>
        <v>0</v>
      </c>
      <c r="R4" s="584">
        <v>0</v>
      </c>
      <c r="S4" s="585">
        <f t="shared" ref="S4:S51" si="0">R4*((24-$E$112)/24)</f>
        <v>0</v>
      </c>
      <c r="T4" s="585" t="e">
        <f>$T$1*P4</f>
        <v>#VALUE!</v>
      </c>
      <c r="U4" s="585">
        <f>$U$1*Q4</f>
        <v>0</v>
      </c>
      <c r="V4" s="585" t="e">
        <f t="shared" ref="V4:V51" si="1">IF($E$91=TRUE,(T4+U4),T4)</f>
        <v>#VALUE!</v>
      </c>
      <c r="W4" s="574" t="e">
        <f t="shared" ref="W4:W31" si="2">$E$105+((($E$107-$E$110)/2)*(($E$105-O4)/($E$105-$E$104)))+((AVERAGE($E$107,$E$110)-$E$105)*(($E$105-O4)/($E$105-$E$104))^(1/$E$108))</f>
        <v>#VALUE!</v>
      </c>
      <c r="X4" s="574" t="e">
        <f>(($X$9-$N$4)/($O$9-$M$4))*(O4-$M$4)+$N$4</f>
        <v>#VALUE!</v>
      </c>
      <c r="Y4" s="585" t="e">
        <f>V4/X4</f>
        <v>#VALUE!</v>
      </c>
      <c r="Z4" s="585" t="e">
        <f>IF((Y4-S4)&lt;0,0,(Y4-S4))</f>
        <v>#VALUE!</v>
      </c>
      <c r="AA4" s="585" t="e">
        <f>$AA$1*P4</f>
        <v>#VALUE!</v>
      </c>
      <c r="AB4" s="585" t="e">
        <f>X4*Z4</f>
        <v>#VALUE!</v>
      </c>
      <c r="AC4" s="586" t="e">
        <f>AA4+AB4</f>
        <v>#VALUE!</v>
      </c>
      <c r="AF4" s="572" t="s">
        <v>228</v>
      </c>
      <c r="AG4" s="571">
        <v>24</v>
      </c>
      <c r="AH4" s="571">
        <v>16</v>
      </c>
      <c r="AI4" s="571">
        <v>11</v>
      </c>
    </row>
    <row r="5" spans="1:35" ht="14.25">
      <c r="A5" s="572" t="s">
        <v>229</v>
      </c>
      <c r="B5" s="571" t="s">
        <v>227</v>
      </c>
      <c r="C5" s="571" t="e">
        <f>(C3+D3)/2</f>
        <v>#VALUE!</v>
      </c>
      <c r="D5" s="571">
        <f>(D3+E3)/2</f>
        <v>-2.5</v>
      </c>
      <c r="E5" s="571">
        <f>(E3+F3)/2</f>
        <v>4.5</v>
      </c>
      <c r="F5" s="571">
        <f>(F3+G3)/2</f>
        <v>9.5</v>
      </c>
      <c r="G5" s="571">
        <v>35</v>
      </c>
      <c r="I5" s="579" t="s">
        <v>396</v>
      </c>
      <c r="J5" s="577"/>
      <c r="K5" s="572"/>
      <c r="M5" s="572"/>
      <c r="O5" s="582">
        <f t="shared" ref="O5:O51" si="3">O4+1</f>
        <v>-11</v>
      </c>
      <c r="P5" s="583">
        <f>'Meteorological data'!F5</f>
        <v>0</v>
      </c>
      <c r="Q5" s="583">
        <f>'Meteorological data'!G5</f>
        <v>0</v>
      </c>
      <c r="R5" s="584">
        <v>0</v>
      </c>
      <c r="S5" s="585">
        <f t="shared" si="0"/>
        <v>0</v>
      </c>
      <c r="T5" s="585" t="e">
        <f t="shared" ref="T5:T31" si="4">$T$1*P5</f>
        <v>#VALUE!</v>
      </c>
      <c r="U5" s="585">
        <f t="shared" ref="U5:U51" si="5">$U$1*Q5</f>
        <v>0</v>
      </c>
      <c r="V5" s="585" t="e">
        <f t="shared" si="1"/>
        <v>#VALUE!</v>
      </c>
      <c r="W5" s="574" t="e">
        <f t="shared" si="2"/>
        <v>#VALUE!</v>
      </c>
      <c r="X5" s="574" t="e">
        <f t="shared" ref="X5:X7" si="6">(($X$9-$N$4)/($O$9-$M$4))*(O5-$M$4)+$N$4</f>
        <v>#VALUE!</v>
      </c>
      <c r="Y5" s="585" t="e">
        <f t="shared" ref="Y5:Y15" si="7">V5/X5</f>
        <v>#VALUE!</v>
      </c>
      <c r="Z5" s="585" t="e">
        <f t="shared" ref="Z5:Z31" si="8">IF((Y5-S5)&lt;0,0,(Y5-S5))</f>
        <v>#VALUE!</v>
      </c>
      <c r="AA5" s="585" t="e">
        <f t="shared" ref="AA5:AA31" si="9">$AA$1*P5</f>
        <v>#VALUE!</v>
      </c>
      <c r="AB5" s="585" t="e">
        <f t="shared" ref="AB5:AB31" si="10">X5*Z5</f>
        <v>#VALUE!</v>
      </c>
      <c r="AC5" s="586" t="e">
        <f t="shared" ref="AC5:AC31" si="11">AA5+AB5</f>
        <v>#VALUE!</v>
      </c>
      <c r="AF5" s="571">
        <v>0.2</v>
      </c>
      <c r="AG5" s="571">
        <v>0.4</v>
      </c>
      <c r="AH5" s="571">
        <v>0.53</v>
      </c>
      <c r="AI5" s="571">
        <v>0.64</v>
      </c>
    </row>
    <row r="6" spans="1:35" ht="14.25">
      <c r="A6" s="587" t="s">
        <v>230</v>
      </c>
      <c r="B6" s="572" t="s">
        <v>433</v>
      </c>
      <c r="C6" s="571" t="str">
        <f>IF(LEFT($E$98,3)="Air",C3,
IF(LEFT($E$98,5)="Water",10,
IF($E$98="Direct exchange (DX)",4,
IF(LEFT($E$98,7)="Exhaust",20,
0))))</f>
        <v xml:space="preserve"> </v>
      </c>
      <c r="D6" s="571">
        <f>IF(LEFT($E$98,3)="Air",D3,
IF(LEFT($E$98,5)="Water",10,
IF($E$98="Direct exchange (DX)",4,
IF(LEFT($E$98,7)="Exhaust",20,
0))))</f>
        <v>-7</v>
      </c>
      <c r="E6" s="571">
        <f>IF(LEFT($E$98,3)="Air",E3,
IF(LEFT($E$98,5)="Water",10,
IF($E$98="Direct exchange (DX)",4,
IF(LEFT($E$98,7)="Exhaust",20,
0))))</f>
        <v>2</v>
      </c>
      <c r="F6" s="571">
        <f>IF(LEFT($E$98,3)="Air",F3,
IF(LEFT($E$98,5)="Water",10,
IF($E$98="Direct exchange (DX)",4,
IF(LEFT($E$98,7)="Exhaust",20,
0))))</f>
        <v>7</v>
      </c>
      <c r="G6" s="571">
        <f>IF(LEFT($E$98,3)="Air",G3,
IF(LEFT($E$98,5)="Water",10,
IF($E$98="Direct exchange (DX)",4,
IF(LEFT($E$98,7)="Exhaust",20,
0))))</f>
        <v>12</v>
      </c>
      <c r="I6" s="588"/>
      <c r="J6" s="577"/>
      <c r="N6" s="578"/>
      <c r="O6" s="582">
        <f t="shared" si="3"/>
        <v>-10</v>
      </c>
      <c r="P6" s="583">
        <f>'Meteorological data'!F6</f>
        <v>0</v>
      </c>
      <c r="Q6" s="583">
        <f>'Meteorological data'!G6</f>
        <v>0</v>
      </c>
      <c r="R6" s="584">
        <v>0</v>
      </c>
      <c r="S6" s="585">
        <f t="shared" si="0"/>
        <v>0</v>
      </c>
      <c r="T6" s="585" t="e">
        <f>$T$1*P6</f>
        <v>#VALUE!</v>
      </c>
      <c r="U6" s="585">
        <f t="shared" si="5"/>
        <v>0</v>
      </c>
      <c r="V6" s="585" t="e">
        <f t="shared" si="1"/>
        <v>#VALUE!</v>
      </c>
      <c r="W6" s="574" t="e">
        <f t="shared" si="2"/>
        <v>#VALUE!</v>
      </c>
      <c r="X6" s="574" t="e">
        <f t="shared" si="6"/>
        <v>#VALUE!</v>
      </c>
      <c r="Y6" s="585" t="e">
        <f t="shared" si="7"/>
        <v>#VALUE!</v>
      </c>
      <c r="Z6" s="585" t="e">
        <f t="shared" si="8"/>
        <v>#VALUE!</v>
      </c>
      <c r="AA6" s="585" t="e">
        <f t="shared" si="9"/>
        <v>#VALUE!</v>
      </c>
      <c r="AB6" s="585" t="e">
        <f t="shared" si="10"/>
        <v>#VALUE!</v>
      </c>
      <c r="AC6" s="586" t="e">
        <f t="shared" si="11"/>
        <v>#VALUE!</v>
      </c>
      <c r="AD6" s="572"/>
      <c r="AF6" s="571">
        <v>0.25</v>
      </c>
      <c r="AG6" s="571">
        <v>0.28000000000000003</v>
      </c>
      <c r="AH6" s="571">
        <v>0.43</v>
      </c>
      <c r="AI6" s="571">
        <v>0.56999999999999995</v>
      </c>
    </row>
    <row r="7" spans="1:35">
      <c r="A7" s="571" t="s">
        <v>231</v>
      </c>
      <c r="B7" s="589" t="s">
        <v>397</v>
      </c>
      <c r="C7" s="574">
        <f>('Meteorological data'!E8-'Meteorological data'!E4)/'Meteorological data'!E31</f>
        <v>0</v>
      </c>
      <c r="D7" s="574">
        <f>('Meteorological data'!E14-'Meteorological data'!E8)/'Meteorological data'!E31</f>
        <v>5.8820364757993654E-3</v>
      </c>
      <c r="E7" s="574">
        <f>('Meteorological data'!E20-'Meteorological data'!E14)/'Meteorological data'!E31</f>
        <v>0.30193856141168873</v>
      </c>
      <c r="F7" s="574">
        <f>('Meteorological data'!E25-'Meteorological data'!E20)/'Meteorological data'!E31</f>
        <v>0.46292344386062445</v>
      </c>
      <c r="G7" s="574">
        <f>('Meteorological data'!E31-'Meteorological data'!E25)/'Meteorological data'!E31</f>
        <v>0.22925595825188747</v>
      </c>
      <c r="H7" s="574">
        <f t="shared" ref="H7:H12" si="12">SUM(C7:G7)</f>
        <v>1</v>
      </c>
      <c r="J7" s="577"/>
      <c r="L7" s="577"/>
      <c r="N7" s="572"/>
      <c r="O7" s="582">
        <f t="shared" si="3"/>
        <v>-9</v>
      </c>
      <c r="P7" s="583">
        <f>'Meteorological data'!F7</f>
        <v>0</v>
      </c>
      <c r="Q7" s="583">
        <f>'Meteorological data'!G7</f>
        <v>0</v>
      </c>
      <c r="R7" s="584">
        <v>0</v>
      </c>
      <c r="S7" s="585">
        <f t="shared" si="0"/>
        <v>0</v>
      </c>
      <c r="T7" s="585" t="e">
        <f t="shared" si="4"/>
        <v>#VALUE!</v>
      </c>
      <c r="U7" s="585">
        <f t="shared" si="5"/>
        <v>0</v>
      </c>
      <c r="V7" s="585" t="e">
        <f t="shared" si="1"/>
        <v>#VALUE!</v>
      </c>
      <c r="W7" s="574" t="e">
        <f t="shared" si="2"/>
        <v>#VALUE!</v>
      </c>
      <c r="X7" s="574" t="e">
        <f t="shared" si="6"/>
        <v>#VALUE!</v>
      </c>
      <c r="Y7" s="585" t="e">
        <f t="shared" si="7"/>
        <v>#VALUE!</v>
      </c>
      <c r="Z7" s="585" t="e">
        <f t="shared" si="8"/>
        <v>#VALUE!</v>
      </c>
      <c r="AA7" s="585" t="e">
        <f t="shared" si="9"/>
        <v>#VALUE!</v>
      </c>
      <c r="AB7" s="585" t="e">
        <f t="shared" si="10"/>
        <v>#VALUE!</v>
      </c>
      <c r="AC7" s="586" t="e">
        <f t="shared" si="11"/>
        <v>#VALUE!</v>
      </c>
      <c r="AF7" s="571">
        <v>0.3</v>
      </c>
      <c r="AG7" s="571">
        <v>0.19</v>
      </c>
      <c r="AH7" s="571">
        <v>0.34</v>
      </c>
      <c r="AI7" s="571">
        <v>0.49</v>
      </c>
    </row>
    <row r="8" spans="1:35">
      <c r="A8" s="572" t="s">
        <v>232</v>
      </c>
      <c r="B8" s="589" t="s">
        <v>398</v>
      </c>
      <c r="C8" s="574">
        <f>IF($E$94="No",$E$103*C7,(($E$103*$E$97/$E$96))*C7)</f>
        <v>0</v>
      </c>
      <c r="D8" s="574">
        <f>IF($E$94="No",$E$103*D7,(($E$103*$E$97/$E$96))*D7)</f>
        <v>0</v>
      </c>
      <c r="E8" s="574">
        <f>IF($E$94="No",$E$103*E7,(($E$103*$E$97/$E$96))*E7)</f>
        <v>0</v>
      </c>
      <c r="F8" s="574">
        <f>IF($E$94="No",$E$103*F7,(($E$103*$E$97/$E$96))*F7)</f>
        <v>0</v>
      </c>
      <c r="G8" s="574">
        <f>IF($E$94="No",$E$103*G7,(($E$103*$E$97/$E$96))*G7)</f>
        <v>0</v>
      </c>
      <c r="H8" s="574">
        <f t="shared" si="12"/>
        <v>0</v>
      </c>
      <c r="J8" s="577"/>
      <c r="K8" s="572"/>
      <c r="M8" s="572"/>
      <c r="O8" s="582">
        <f t="shared" si="3"/>
        <v>-8</v>
      </c>
      <c r="P8" s="583">
        <f>'Meteorological data'!F8</f>
        <v>0</v>
      </c>
      <c r="Q8" s="583">
        <f>'Meteorological data'!G8</f>
        <v>0</v>
      </c>
      <c r="R8" s="584">
        <v>0</v>
      </c>
      <c r="S8" s="585">
        <f t="shared" si="0"/>
        <v>0</v>
      </c>
      <c r="T8" s="585" t="e">
        <f t="shared" si="4"/>
        <v>#VALUE!</v>
      </c>
      <c r="U8" s="585">
        <f t="shared" si="5"/>
        <v>0</v>
      </c>
      <c r="V8" s="585" t="e">
        <f t="shared" si="1"/>
        <v>#VALUE!</v>
      </c>
      <c r="W8" s="574" t="e">
        <f t="shared" si="2"/>
        <v>#VALUE!</v>
      </c>
      <c r="X8" s="574" t="e">
        <f>(($X$9-$N$4)/($O$9-$M$4))*(O8-$M$4)+$N$4</f>
        <v>#VALUE!</v>
      </c>
      <c r="Y8" s="585" t="e">
        <f t="shared" si="7"/>
        <v>#VALUE!</v>
      </c>
      <c r="Z8" s="585" t="e">
        <f t="shared" si="8"/>
        <v>#VALUE!</v>
      </c>
      <c r="AA8" s="585" t="e">
        <f t="shared" si="9"/>
        <v>#VALUE!</v>
      </c>
      <c r="AB8" s="585" t="e">
        <f t="shared" si="10"/>
        <v>#VALUE!</v>
      </c>
      <c r="AC8" s="586" t="e">
        <f t="shared" si="11"/>
        <v>#VALUE!</v>
      </c>
      <c r="AF8" s="571">
        <v>0.35</v>
      </c>
      <c r="AG8" s="571">
        <v>0.12</v>
      </c>
      <c r="AH8" s="571">
        <v>0.27</v>
      </c>
      <c r="AI8" s="571">
        <v>0.42</v>
      </c>
    </row>
    <row r="9" spans="1:35">
      <c r="A9" s="572" t="s">
        <v>217</v>
      </c>
      <c r="B9" s="589" t="s">
        <v>399</v>
      </c>
      <c r="C9" s="571">
        <f>('Meteorological data'!C8-'Meteorological data'!C4)</f>
        <v>0</v>
      </c>
      <c r="D9" s="571">
        <f>('Meteorological data'!C14-'Meteorological data'!C8)</f>
        <v>18</v>
      </c>
      <c r="E9" s="571">
        <f>('Meteorological data'!C20-'Meteorological data'!C14)</f>
        <v>1247</v>
      </c>
      <c r="F9" s="571">
        <f>('Meteorological data'!C25-'Meteorological data'!C20)</f>
        <v>2933</v>
      </c>
      <c r="G9" s="571">
        <f>('Meteorological data'!C51-'Meteorological data'!C25)</f>
        <v>4562</v>
      </c>
      <c r="H9" s="574">
        <f t="shared" si="12"/>
        <v>8760</v>
      </c>
      <c r="J9" s="577"/>
      <c r="K9" s="577"/>
      <c r="M9" s="577"/>
      <c r="O9" s="590">
        <f t="shared" si="3"/>
        <v>-7</v>
      </c>
      <c r="P9" s="591">
        <f>'Meteorological data'!F9</f>
        <v>0</v>
      </c>
      <c r="Q9" s="591">
        <f>'Meteorological data'!G9</f>
        <v>0</v>
      </c>
      <c r="R9" s="592">
        <v>0</v>
      </c>
      <c r="S9" s="593">
        <f t="shared" si="0"/>
        <v>0</v>
      </c>
      <c r="T9" s="593" t="e">
        <f t="shared" si="4"/>
        <v>#VALUE!</v>
      </c>
      <c r="U9" s="593">
        <f t="shared" si="5"/>
        <v>0</v>
      </c>
      <c r="V9" s="585" t="e">
        <f t="shared" si="1"/>
        <v>#VALUE!</v>
      </c>
      <c r="W9" s="594" t="e">
        <f t="shared" si="2"/>
        <v>#VALUE!</v>
      </c>
      <c r="X9" s="594">
        <f>D41</f>
        <v>0</v>
      </c>
      <c r="Y9" s="593" t="e">
        <f t="shared" si="7"/>
        <v>#VALUE!</v>
      </c>
      <c r="Z9" s="593" t="e">
        <f t="shared" si="8"/>
        <v>#VALUE!</v>
      </c>
      <c r="AA9" s="593" t="e">
        <f t="shared" si="9"/>
        <v>#VALUE!</v>
      </c>
      <c r="AB9" s="593" t="e">
        <f t="shared" si="10"/>
        <v>#VALUE!</v>
      </c>
      <c r="AC9" s="595" t="e">
        <f t="shared" si="11"/>
        <v>#VALUE!</v>
      </c>
      <c r="AF9" s="571">
        <v>0.4</v>
      </c>
      <c r="AG9" s="571">
        <v>0.06</v>
      </c>
      <c r="AH9" s="571">
        <v>0.2</v>
      </c>
      <c r="AI9" s="571">
        <v>0.35</v>
      </c>
    </row>
    <row r="10" spans="1:35">
      <c r="A10" s="572" t="s">
        <v>218</v>
      </c>
      <c r="B10" s="589" t="s">
        <v>400</v>
      </c>
      <c r="C10" s="571">
        <f>C9*((24-$E$112)/24)</f>
        <v>0</v>
      </c>
      <c r="D10" s="571">
        <f>D9*((24-$E$112)/24)</f>
        <v>6</v>
      </c>
      <c r="E10" s="571">
        <f>E9*((24-$E$112)/24)</f>
        <v>415.66666666666663</v>
      </c>
      <c r="F10" s="571">
        <f>F9*((24-$E$112)/24)</f>
        <v>977.66666666666663</v>
      </c>
      <c r="G10" s="571">
        <f>G9*((24-$E$112)/24)</f>
        <v>1520.6666666666665</v>
      </c>
      <c r="H10" s="574">
        <f t="shared" si="12"/>
        <v>2920</v>
      </c>
      <c r="J10" s="577"/>
      <c r="K10" s="572"/>
      <c r="M10" s="572"/>
      <c r="O10" s="582">
        <f t="shared" si="3"/>
        <v>-6</v>
      </c>
      <c r="P10" s="583">
        <f>'Meteorological data'!F10</f>
        <v>0</v>
      </c>
      <c r="Q10" s="583">
        <f>'Meteorological data'!G10</f>
        <v>0</v>
      </c>
      <c r="R10" s="584">
        <v>0</v>
      </c>
      <c r="S10" s="585">
        <f t="shared" si="0"/>
        <v>0</v>
      </c>
      <c r="T10" s="585" t="e">
        <f t="shared" si="4"/>
        <v>#VALUE!</v>
      </c>
      <c r="U10" s="585">
        <f t="shared" si="5"/>
        <v>0</v>
      </c>
      <c r="V10" s="585" t="e">
        <f t="shared" si="1"/>
        <v>#VALUE!</v>
      </c>
      <c r="W10" s="574" t="e">
        <f t="shared" si="2"/>
        <v>#VALUE!</v>
      </c>
      <c r="X10" s="574">
        <f>(($X$18-$X$9)/($O$18-$O$9))*(O10-$O$9)+$X$9</f>
        <v>0</v>
      </c>
      <c r="Y10" s="585" t="e">
        <f t="shared" si="7"/>
        <v>#VALUE!</v>
      </c>
      <c r="Z10" s="585" t="e">
        <f t="shared" si="8"/>
        <v>#VALUE!</v>
      </c>
      <c r="AA10" s="585" t="e">
        <f t="shared" si="9"/>
        <v>#VALUE!</v>
      </c>
      <c r="AB10" s="585" t="e">
        <f t="shared" si="10"/>
        <v>#VALUE!</v>
      </c>
      <c r="AC10" s="586" t="e">
        <f t="shared" si="11"/>
        <v>#VALUE!</v>
      </c>
      <c r="AF10" s="571">
        <v>0.45</v>
      </c>
      <c r="AG10" s="571">
        <v>0.03</v>
      </c>
      <c r="AH10" s="571">
        <v>0.14000000000000001</v>
      </c>
      <c r="AI10" s="571">
        <v>0.28999999999999998</v>
      </c>
    </row>
    <row r="11" spans="1:35">
      <c r="A11" s="571" t="s">
        <v>233</v>
      </c>
      <c r="B11" s="589" t="s">
        <v>401</v>
      </c>
      <c r="C11" s="574">
        <f>C10/$H$10</f>
        <v>0</v>
      </c>
      <c r="D11" s="574">
        <f>D10/$H$10</f>
        <v>2.054794520547945E-3</v>
      </c>
      <c r="E11" s="574">
        <f>E10/$H$10</f>
        <v>0.14235159817351598</v>
      </c>
      <c r="F11" s="574">
        <f>F10/$H$10</f>
        <v>0.3348173515981735</v>
      </c>
      <c r="G11" s="574">
        <f>G10/$H$10</f>
        <v>0.52077625570776254</v>
      </c>
      <c r="H11" s="574">
        <f t="shared" si="12"/>
        <v>1</v>
      </c>
      <c r="J11" s="578"/>
      <c r="O11" s="582">
        <f t="shared" si="3"/>
        <v>-5</v>
      </c>
      <c r="P11" s="583">
        <f>'Meteorological data'!F11</f>
        <v>0</v>
      </c>
      <c r="Q11" s="583">
        <f>'Meteorological data'!G11</f>
        <v>0</v>
      </c>
      <c r="R11" s="584">
        <v>0</v>
      </c>
      <c r="S11" s="585">
        <f t="shared" si="0"/>
        <v>0</v>
      </c>
      <c r="T11" s="585" t="e">
        <f t="shared" si="4"/>
        <v>#VALUE!</v>
      </c>
      <c r="U11" s="585">
        <f t="shared" si="5"/>
        <v>0</v>
      </c>
      <c r="V11" s="585" t="e">
        <f t="shared" si="1"/>
        <v>#VALUE!</v>
      </c>
      <c r="W11" s="574" t="e">
        <f t="shared" si="2"/>
        <v>#VALUE!</v>
      </c>
      <c r="X11" s="574">
        <f t="shared" ref="X11:X17" si="13">(($X$18-$X$9)/($O$18-$O$9))*(O11-$O$9)+$X$9</f>
        <v>0</v>
      </c>
      <c r="Y11" s="585" t="e">
        <f t="shared" si="7"/>
        <v>#VALUE!</v>
      </c>
      <c r="Z11" s="585" t="e">
        <f t="shared" si="8"/>
        <v>#VALUE!</v>
      </c>
      <c r="AA11" s="585" t="e">
        <f t="shared" si="9"/>
        <v>#VALUE!</v>
      </c>
      <c r="AB11" s="585" t="e">
        <f t="shared" si="10"/>
        <v>#VALUE!</v>
      </c>
      <c r="AC11" s="586" t="e">
        <f t="shared" si="11"/>
        <v>#VALUE!</v>
      </c>
      <c r="AF11" s="571">
        <v>0.5</v>
      </c>
      <c r="AG11" s="571">
        <v>0.01</v>
      </c>
      <c r="AH11" s="571">
        <v>0.09</v>
      </c>
      <c r="AI11" s="571">
        <v>0.24</v>
      </c>
    </row>
    <row r="12" spans="1:35">
      <c r="A12" s="572" t="s">
        <v>234</v>
      </c>
      <c r="B12" s="589" t="s">
        <v>402</v>
      </c>
      <c r="C12" s="574">
        <f>IF($E$94="No",$E$135*C11,(($E$135*$E$97/$E$96))*C11)</f>
        <v>0</v>
      </c>
      <c r="D12" s="574">
        <f>IF($E$94="No",$E$135*D11,(($E$135*$E$97/$E$96))*D11)</f>
        <v>0</v>
      </c>
      <c r="E12" s="574">
        <f>IF($E$94="No",$E$135*E11,(($E$135*$E$97/$E$96))*E11)</f>
        <v>0</v>
      </c>
      <c r="F12" s="574">
        <f>IF($E$94="No",$E$135*F11,(($E$135*$E$97/$E$96))*F11)</f>
        <v>0</v>
      </c>
      <c r="G12" s="574">
        <f>IF($E$94="No",$E$135*G11,(($E$135*$E$97/$E$96))*G11)</f>
        <v>0</v>
      </c>
      <c r="H12" s="574">
        <f t="shared" si="12"/>
        <v>0</v>
      </c>
      <c r="I12" s="572"/>
      <c r="J12" s="577"/>
      <c r="K12" s="572"/>
      <c r="M12" s="572"/>
      <c r="N12" s="572"/>
      <c r="O12" s="582">
        <f t="shared" si="3"/>
        <v>-4</v>
      </c>
      <c r="P12" s="583">
        <f>'Meteorological data'!F12</f>
        <v>0</v>
      </c>
      <c r="Q12" s="583">
        <f>'Meteorological data'!G12</f>
        <v>0</v>
      </c>
      <c r="R12" s="584">
        <v>0</v>
      </c>
      <c r="S12" s="585">
        <f t="shared" si="0"/>
        <v>0</v>
      </c>
      <c r="T12" s="585" t="e">
        <f t="shared" si="4"/>
        <v>#VALUE!</v>
      </c>
      <c r="U12" s="585">
        <f t="shared" si="5"/>
        <v>0</v>
      </c>
      <c r="V12" s="585" t="e">
        <f t="shared" si="1"/>
        <v>#VALUE!</v>
      </c>
      <c r="W12" s="574" t="e">
        <f t="shared" si="2"/>
        <v>#VALUE!</v>
      </c>
      <c r="X12" s="574">
        <f t="shared" si="13"/>
        <v>0</v>
      </c>
      <c r="Y12" s="585" t="e">
        <f t="shared" si="7"/>
        <v>#VALUE!</v>
      </c>
      <c r="Z12" s="585" t="e">
        <f t="shared" si="8"/>
        <v>#VALUE!</v>
      </c>
      <c r="AA12" s="585" t="e">
        <f t="shared" si="9"/>
        <v>#VALUE!</v>
      </c>
      <c r="AB12" s="585" t="e">
        <f t="shared" si="10"/>
        <v>#VALUE!</v>
      </c>
      <c r="AC12" s="586" t="e">
        <f t="shared" si="11"/>
        <v>#VALUE!</v>
      </c>
      <c r="AF12" s="571">
        <v>0.55000000000000004</v>
      </c>
      <c r="AG12" s="571">
        <v>0</v>
      </c>
      <c r="AH12" s="571">
        <v>0.06</v>
      </c>
      <c r="AI12" s="571">
        <v>0.19</v>
      </c>
    </row>
    <row r="13" spans="1:35">
      <c r="A13" s="571" t="s">
        <v>1</v>
      </c>
      <c r="B13" s="571" t="s">
        <v>1</v>
      </c>
      <c r="J13" s="577"/>
      <c r="O13" s="582">
        <f t="shared" si="3"/>
        <v>-3</v>
      </c>
      <c r="P13" s="583">
        <f>'Meteorological data'!F13</f>
        <v>1.3629108907339993E-3</v>
      </c>
      <c r="Q13" s="583">
        <f>'Meteorological data'!G13</f>
        <v>4.5662100456621003E-4</v>
      </c>
      <c r="R13" s="584">
        <v>4</v>
      </c>
      <c r="S13" s="585">
        <f t="shared" si="0"/>
        <v>1.3333333333333333</v>
      </c>
      <c r="T13" s="585" t="e">
        <f t="shared" si="4"/>
        <v>#VALUE!</v>
      </c>
      <c r="U13" s="585">
        <f t="shared" si="5"/>
        <v>0</v>
      </c>
      <c r="V13" s="585" t="e">
        <f t="shared" si="1"/>
        <v>#VALUE!</v>
      </c>
      <c r="W13" s="574" t="e">
        <f t="shared" si="2"/>
        <v>#VALUE!</v>
      </c>
      <c r="X13" s="574">
        <f t="shared" si="13"/>
        <v>0</v>
      </c>
      <c r="Y13" s="585" t="e">
        <f>V13/X13</f>
        <v>#VALUE!</v>
      </c>
      <c r="Z13" s="585" t="e">
        <f>IF((Y13-S13)&lt;0,0,(Y13-S13))</f>
        <v>#VALUE!</v>
      </c>
      <c r="AA13" s="585" t="e">
        <f t="shared" si="9"/>
        <v>#VALUE!</v>
      </c>
      <c r="AB13" s="585" t="e">
        <f t="shared" si="10"/>
        <v>#VALUE!</v>
      </c>
      <c r="AC13" s="586" t="e">
        <f t="shared" si="11"/>
        <v>#VALUE!</v>
      </c>
      <c r="AF13" s="571">
        <v>0.6</v>
      </c>
      <c r="AG13" s="571">
        <v>0</v>
      </c>
      <c r="AH13" s="571">
        <v>0.03</v>
      </c>
      <c r="AI13" s="571">
        <v>0.15</v>
      </c>
    </row>
    <row r="14" spans="1:35">
      <c r="A14" s="573" t="s">
        <v>235</v>
      </c>
      <c r="C14" s="574" t="str">
        <f>E101</f>
        <v xml:space="preserve"> </v>
      </c>
      <c r="D14" s="571">
        <v>-7</v>
      </c>
      <c r="E14" s="571">
        <v>2</v>
      </c>
      <c r="F14" s="571">
        <v>7</v>
      </c>
      <c r="G14" s="571">
        <v>12</v>
      </c>
      <c r="J14" s="577"/>
      <c r="O14" s="582">
        <f t="shared" si="3"/>
        <v>-2</v>
      </c>
      <c r="P14" s="583">
        <f>'Meteorological data'!F14</f>
        <v>4.5191255850653657E-3</v>
      </c>
      <c r="Q14" s="583">
        <f>'Meteorological data'!G14</f>
        <v>1.5981735159817352E-3</v>
      </c>
      <c r="R14" s="584">
        <v>14</v>
      </c>
      <c r="S14" s="585">
        <f t="shared" si="0"/>
        <v>4.6666666666666661</v>
      </c>
      <c r="T14" s="585" t="e">
        <f t="shared" si="4"/>
        <v>#VALUE!</v>
      </c>
      <c r="U14" s="585">
        <f>$U$1*Q14</f>
        <v>0</v>
      </c>
      <c r="V14" s="585" t="e">
        <f t="shared" si="1"/>
        <v>#VALUE!</v>
      </c>
      <c r="W14" s="574" t="e">
        <f t="shared" si="2"/>
        <v>#VALUE!</v>
      </c>
      <c r="X14" s="574">
        <f t="shared" si="13"/>
        <v>0</v>
      </c>
      <c r="Y14" s="585" t="e">
        <f>V14/X14</f>
        <v>#VALUE!</v>
      </c>
      <c r="Z14" s="585" t="e">
        <f>IF((Y14-S14)&lt;0,0,(Y14-S14))</f>
        <v>#VALUE!</v>
      </c>
      <c r="AA14" s="585" t="e">
        <f t="shared" si="9"/>
        <v>#VALUE!</v>
      </c>
      <c r="AB14" s="585" t="e">
        <f t="shared" si="10"/>
        <v>#VALUE!</v>
      </c>
      <c r="AC14" s="586" t="e">
        <f t="shared" si="11"/>
        <v>#VALUE!</v>
      </c>
      <c r="AF14" s="571">
        <v>0.65</v>
      </c>
      <c r="AG14" s="571">
        <v>0</v>
      </c>
      <c r="AH14" s="571">
        <v>0.02</v>
      </c>
      <c r="AI14" s="571">
        <v>0.11</v>
      </c>
    </row>
    <row r="15" spans="1:35" ht="15.75">
      <c r="A15" s="596" t="str">
        <f>$E119&amp;" (oC)"</f>
        <v>Low Temperature (oC)</v>
      </c>
      <c r="B15" s="597" t="str">
        <f>"Based on test data according to "&amp;$E$100</f>
        <v>Based on test data according to I.S. EN 14825</v>
      </c>
      <c r="C15" s="598">
        <f>IF($E$128="Yes",IF($E$99="Variable Outlet",35,35),0)</f>
        <v>0</v>
      </c>
      <c r="D15" s="598">
        <f>IF($E$128="Yes",IF($E$99="Variable Outlet",34,35),0)</f>
        <v>0</v>
      </c>
      <c r="E15" s="598">
        <f>IF($E$128="Yes",IF($E$99="Variable Outlet",30,35),0)</f>
        <v>0</v>
      </c>
      <c r="F15" s="598">
        <f>IF($E$128="Yes",IF($E$99="Variable Outlet",27,35),0)</f>
        <v>0</v>
      </c>
      <c r="G15" s="599">
        <f>IF($E$128="Yes",IF($E$99="Variable Outlet",24,35),0)</f>
        <v>0</v>
      </c>
      <c r="I15" s="49"/>
      <c r="J15" s="577"/>
      <c r="K15" s="572"/>
      <c r="M15" s="572"/>
      <c r="O15" s="582">
        <f t="shared" si="3"/>
        <v>-1</v>
      </c>
      <c r="P15" s="583">
        <f>'Meteorological data'!F15</f>
        <v>1.3413912450908309E-2</v>
      </c>
      <c r="Q15" s="583">
        <f>'Meteorological data'!G15</f>
        <v>5.0228310502283104E-3</v>
      </c>
      <c r="R15" s="584">
        <v>44</v>
      </c>
      <c r="S15" s="585">
        <f t="shared" si="0"/>
        <v>14.666666666666666</v>
      </c>
      <c r="T15" s="585" t="e">
        <f t="shared" si="4"/>
        <v>#VALUE!</v>
      </c>
      <c r="U15" s="585">
        <f t="shared" si="5"/>
        <v>0</v>
      </c>
      <c r="V15" s="585" t="e">
        <f t="shared" si="1"/>
        <v>#VALUE!</v>
      </c>
      <c r="W15" s="574" t="e">
        <f t="shared" si="2"/>
        <v>#VALUE!</v>
      </c>
      <c r="X15" s="574">
        <f t="shared" si="13"/>
        <v>0</v>
      </c>
      <c r="Y15" s="585" t="e">
        <f t="shared" si="7"/>
        <v>#VALUE!</v>
      </c>
      <c r="Z15" s="585" t="e">
        <f>IF((Y15-S15)&lt;0,0,(Y15-S15))</f>
        <v>#VALUE!</v>
      </c>
      <c r="AA15" s="585" t="e">
        <f t="shared" si="9"/>
        <v>#VALUE!</v>
      </c>
      <c r="AB15" s="585" t="e">
        <f t="shared" si="10"/>
        <v>#VALUE!</v>
      </c>
      <c r="AC15" s="586" t="e">
        <f t="shared" si="11"/>
        <v>#VALUE!</v>
      </c>
      <c r="AF15" s="571">
        <v>0.7</v>
      </c>
      <c r="AG15" s="571">
        <v>0</v>
      </c>
      <c r="AH15" s="571">
        <v>0.01</v>
      </c>
      <c r="AI15" s="571">
        <v>0.09</v>
      </c>
    </row>
    <row r="16" spans="1:35" ht="15.75">
      <c r="A16" s="589" t="str">
        <f t="shared" ref="A16:A18" si="14">$E120&amp;" (oC)"</f>
        <v>Medium Temperature (oC)</v>
      </c>
      <c r="B16" s="600" t="str">
        <f>$B$15</f>
        <v>Based on test data according to I.S. EN 14825</v>
      </c>
      <c r="C16" s="601">
        <f>IF($E$129="Yes",IF($E$99="Variable Outlet",45,45),0)</f>
        <v>0</v>
      </c>
      <c r="D16" s="601">
        <f>IF($E$129="Yes",IF($E$99="Variable Outlet",43,45),0)</f>
        <v>0</v>
      </c>
      <c r="E16" s="601">
        <f>IF($E$129="Yes",IF($E$99="Variable Outlet",37,45),0)</f>
        <v>0</v>
      </c>
      <c r="F16" s="601">
        <f>IF($E$129="Yes",IF($E$99="Variable Outlet",33,45),0)</f>
        <v>0</v>
      </c>
      <c r="G16" s="602">
        <f>IF($E$129="Yes",IF($E$99="Variable Outlet",28,45),0)</f>
        <v>0</v>
      </c>
      <c r="I16" s="49"/>
      <c r="J16" s="577"/>
      <c r="O16" s="582">
        <f t="shared" si="3"/>
        <v>0</v>
      </c>
      <c r="P16" s="583">
        <f>'Meteorological data'!F16</f>
        <v>3.2136004160464825E-2</v>
      </c>
      <c r="Q16" s="583">
        <f>'Meteorological data'!G16</f>
        <v>1.2785388127853882E-2</v>
      </c>
      <c r="R16" s="584">
        <v>112</v>
      </c>
      <c r="S16" s="585">
        <f t="shared" si="0"/>
        <v>37.333333333333329</v>
      </c>
      <c r="T16" s="585" t="e">
        <f t="shared" si="4"/>
        <v>#VALUE!</v>
      </c>
      <c r="U16" s="585">
        <f>$U$1*Q16</f>
        <v>0</v>
      </c>
      <c r="V16" s="585" t="e">
        <f t="shared" si="1"/>
        <v>#VALUE!</v>
      </c>
      <c r="W16" s="574" t="e">
        <f t="shared" si="2"/>
        <v>#VALUE!</v>
      </c>
      <c r="X16" s="574">
        <f t="shared" si="13"/>
        <v>0</v>
      </c>
      <c r="Y16" s="585" t="e">
        <f>V16/X16</f>
        <v>#VALUE!</v>
      </c>
      <c r="Z16" s="585" t="e">
        <f>IF((Y16-S16)&lt;0,0,(Y16-S16))</f>
        <v>#VALUE!</v>
      </c>
      <c r="AA16" s="585" t="e">
        <f t="shared" si="9"/>
        <v>#VALUE!</v>
      </c>
      <c r="AB16" s="585" t="e">
        <f t="shared" si="10"/>
        <v>#VALUE!</v>
      </c>
      <c r="AC16" s="586" t="e">
        <f t="shared" si="11"/>
        <v>#VALUE!</v>
      </c>
      <c r="AF16" s="571">
        <v>0.75</v>
      </c>
      <c r="AG16" s="571">
        <v>0</v>
      </c>
      <c r="AH16" s="571">
        <v>0</v>
      </c>
      <c r="AI16" s="571">
        <v>0.05</v>
      </c>
    </row>
    <row r="17" spans="1:35" ht="27.75" customHeight="1">
      <c r="A17" s="589" t="str">
        <f t="shared" si="14"/>
        <v>High Temperature (oC)</v>
      </c>
      <c r="B17" s="600" t="str">
        <f>$B$15</f>
        <v>Based on test data according to I.S. EN 14825</v>
      </c>
      <c r="C17" s="601">
        <f>IF($E$127="Yes",IF($E$99="Variable Outlet",55,55),0)</f>
        <v>55</v>
      </c>
      <c r="D17" s="601">
        <f>IF($E$127="Yes",IF($E$99="Variable Outlet",52,55),0)</f>
        <v>55</v>
      </c>
      <c r="E17" s="601">
        <f>IF($E$127="Yes",IF($E$99="Variable Outlet",42,55),0)</f>
        <v>55</v>
      </c>
      <c r="F17" s="601">
        <f>IF($E$127="Yes",IF($E$99="Variable Outlet",36,55),0)</f>
        <v>55</v>
      </c>
      <c r="G17" s="602">
        <f>IF($E$127="Yes",IF($E$99="Variable Outlet",30,55),0)</f>
        <v>55</v>
      </c>
      <c r="I17" s="49" t="s">
        <v>434</v>
      </c>
      <c r="J17" s="577"/>
      <c r="O17" s="582">
        <f t="shared" si="3"/>
        <v>1</v>
      </c>
      <c r="P17" s="583">
        <f>'Meteorological data'!F17</f>
        <v>3.927335329878235E-2</v>
      </c>
      <c r="Q17" s="583">
        <f>'Meteorological data'!G17</f>
        <v>1.6666666666666666E-2</v>
      </c>
      <c r="R17" s="584">
        <v>146</v>
      </c>
      <c r="S17" s="585">
        <f t="shared" si="0"/>
        <v>48.666666666666664</v>
      </c>
      <c r="T17" s="585" t="e">
        <f t="shared" si="4"/>
        <v>#VALUE!</v>
      </c>
      <c r="U17" s="585">
        <f t="shared" si="5"/>
        <v>0</v>
      </c>
      <c r="V17" s="585" t="e">
        <f t="shared" si="1"/>
        <v>#VALUE!</v>
      </c>
      <c r="W17" s="574" t="e">
        <f t="shared" si="2"/>
        <v>#VALUE!</v>
      </c>
      <c r="X17" s="574">
        <f t="shared" si="13"/>
        <v>0</v>
      </c>
      <c r="Y17" s="585" t="e">
        <f t="shared" ref="Y17:Y31" si="15">V17/X17</f>
        <v>#VALUE!</v>
      </c>
      <c r="Z17" s="585" t="e">
        <f>IF((Y17-S17)&lt;0,0,(Y17-S17))</f>
        <v>#VALUE!</v>
      </c>
      <c r="AA17" s="585" t="e">
        <f t="shared" si="9"/>
        <v>#VALUE!</v>
      </c>
      <c r="AB17" s="585" t="e">
        <f t="shared" si="10"/>
        <v>#VALUE!</v>
      </c>
      <c r="AC17" s="586" t="e">
        <f t="shared" si="11"/>
        <v>#VALUE!</v>
      </c>
      <c r="AF17" s="571">
        <v>0.8</v>
      </c>
      <c r="AG17" s="571">
        <v>0</v>
      </c>
      <c r="AH17" s="571">
        <v>0</v>
      </c>
      <c r="AI17" s="571">
        <v>0.05</v>
      </c>
    </row>
    <row r="18" spans="1:35" ht="15.75">
      <c r="A18" s="603" t="str">
        <f t="shared" si="14"/>
        <v>Very high Temperature (oC)</v>
      </c>
      <c r="B18" s="600" t="str">
        <f>$B$15</f>
        <v>Based on test data according to I.S. EN 14825</v>
      </c>
      <c r="C18" s="604">
        <f>IF($E$130="Yes",65,0)</f>
        <v>0</v>
      </c>
      <c r="D18" s="604">
        <f>IF($E$130="Yes",IF($E$99="Variable Outlet",61,65),0)</f>
        <v>0</v>
      </c>
      <c r="E18" s="604">
        <f>IF($E$130="Yes",IF($E$99="Variable Outlet",49,65),0)</f>
        <v>0</v>
      </c>
      <c r="F18" s="604">
        <f>IF($E$130="Yes",IF($E$99="Variable Outlet",41,65),0)</f>
        <v>0</v>
      </c>
      <c r="G18" s="605">
        <f>IF($E$130="Yes",IF($E$99="Variable Outlet",32,65),0)</f>
        <v>0</v>
      </c>
      <c r="I18" s="50"/>
      <c r="J18" s="577"/>
      <c r="K18" s="572"/>
      <c r="M18" s="572"/>
      <c r="O18" s="590">
        <f t="shared" si="3"/>
        <v>2</v>
      </c>
      <c r="P18" s="591">
        <f>'Meteorological data'!F18</f>
        <v>5.5735882215806179E-2</v>
      </c>
      <c r="Q18" s="591">
        <f>'Meteorological data'!G18</f>
        <v>2.5342465753424658E-2</v>
      </c>
      <c r="R18" s="592">
        <v>222</v>
      </c>
      <c r="S18" s="593">
        <f t="shared" si="0"/>
        <v>74</v>
      </c>
      <c r="T18" s="593" t="e">
        <f t="shared" si="4"/>
        <v>#VALUE!</v>
      </c>
      <c r="U18" s="593">
        <f t="shared" si="5"/>
        <v>0</v>
      </c>
      <c r="V18" s="585" t="e">
        <f t="shared" si="1"/>
        <v>#VALUE!</v>
      </c>
      <c r="W18" s="594" t="e">
        <f t="shared" si="2"/>
        <v>#VALUE!</v>
      </c>
      <c r="X18" s="594">
        <f>E41</f>
        <v>0</v>
      </c>
      <c r="Y18" s="593" t="e">
        <f>V18/X18</f>
        <v>#VALUE!</v>
      </c>
      <c r="Z18" s="593" t="e">
        <f t="shared" si="8"/>
        <v>#VALUE!</v>
      </c>
      <c r="AA18" s="593" t="e">
        <f t="shared" si="9"/>
        <v>#VALUE!</v>
      </c>
      <c r="AB18" s="585" t="e">
        <f t="shared" si="10"/>
        <v>#VALUE!</v>
      </c>
      <c r="AC18" s="586" t="e">
        <f t="shared" si="11"/>
        <v>#VALUE!</v>
      </c>
      <c r="AF18" s="571">
        <v>0.85</v>
      </c>
      <c r="AG18" s="571">
        <v>0</v>
      </c>
      <c r="AH18" s="571">
        <v>0</v>
      </c>
      <c r="AI18" s="571">
        <v>0.03</v>
      </c>
    </row>
    <row r="19" spans="1:35" ht="15.75">
      <c r="A19" s="596" t="str">
        <f>$E119&amp;" COP  (kW/kW)"</f>
        <v>Low Temperature COP  (kW/kW)</v>
      </c>
      <c r="B19" s="597" t="str">
        <f t="shared" ref="B19:B26" si="16">$B$15</f>
        <v>Based on test data according to I.S. EN 14825</v>
      </c>
      <c r="C19" s="606">
        <f>INDEX($C$154:$G$161,MATCH($A19,$A$154:$A$161,0),MATCH(C$27,$C$152:$G$152,0))</f>
        <v>0</v>
      </c>
      <c r="D19" s="606">
        <f t="shared" ref="D19:G26" si="17">INDEX($C$154:$G$161,MATCH($A19,$A$154:$A$161,0),MATCH(D$27,$C$152:$G$152,0))</f>
        <v>0</v>
      </c>
      <c r="E19" s="606">
        <f t="shared" si="17"/>
        <v>0</v>
      </c>
      <c r="F19" s="606">
        <f t="shared" si="17"/>
        <v>0</v>
      </c>
      <c r="G19" s="607">
        <f t="shared" si="17"/>
        <v>0</v>
      </c>
      <c r="I19" s="49" t="s">
        <v>435</v>
      </c>
      <c r="J19" s="577"/>
      <c r="K19" s="572"/>
      <c r="M19" s="572"/>
      <c r="O19" s="582">
        <f t="shared" si="3"/>
        <v>3</v>
      </c>
      <c r="P19" s="583">
        <f>'Meteorological data'!F19</f>
        <v>7.5300826713053465E-2</v>
      </c>
      <c r="Q19" s="583">
        <f>'Meteorological data'!G19</f>
        <v>3.6872146118721458E-2</v>
      </c>
      <c r="R19" s="584">
        <v>323</v>
      </c>
      <c r="S19" s="585">
        <f t="shared" si="0"/>
        <v>107.66666666666666</v>
      </c>
      <c r="T19" s="585" t="e">
        <f t="shared" si="4"/>
        <v>#VALUE!</v>
      </c>
      <c r="U19" s="585">
        <f t="shared" si="5"/>
        <v>0</v>
      </c>
      <c r="V19" s="585" t="e">
        <f t="shared" si="1"/>
        <v>#VALUE!</v>
      </c>
      <c r="W19" s="574" t="e">
        <f t="shared" si="2"/>
        <v>#VALUE!</v>
      </c>
      <c r="X19" s="574">
        <f>(($X$23-$X$18)/($O$23-$O$18))*(O19-$O$18)+$X$18</f>
        <v>0</v>
      </c>
      <c r="Y19" s="585" t="e">
        <f>V19/X19</f>
        <v>#VALUE!</v>
      </c>
      <c r="Z19" s="585" t="e">
        <f>IF((Y19-S19)&lt;0,0,(Y19-S19))</f>
        <v>#VALUE!</v>
      </c>
      <c r="AA19" s="585" t="e">
        <f t="shared" si="9"/>
        <v>#VALUE!</v>
      </c>
      <c r="AB19" s="585" t="e">
        <f t="shared" si="10"/>
        <v>#VALUE!</v>
      </c>
      <c r="AC19" s="586" t="e">
        <f t="shared" si="11"/>
        <v>#VALUE!</v>
      </c>
      <c r="AF19" s="571">
        <v>0.9</v>
      </c>
      <c r="AG19" s="571">
        <v>0</v>
      </c>
      <c r="AH19" s="571">
        <v>0</v>
      </c>
      <c r="AI19" s="571">
        <v>0.02</v>
      </c>
    </row>
    <row r="20" spans="1:35" ht="15.75">
      <c r="A20" s="589" t="str">
        <f t="shared" ref="A20:A22" si="18">$E120&amp;" COP  (kW/kW)"</f>
        <v>Medium Temperature COP  (kW/kW)</v>
      </c>
      <c r="B20" s="600" t="str">
        <f t="shared" si="16"/>
        <v>Based on test data according to I.S. EN 14825</v>
      </c>
      <c r="C20" s="608">
        <f t="shared" ref="C20:C26" si="19">INDEX($C$154:$G$161,MATCH($A20,$A$154:$A$161,0),MATCH(C$27,$C$152:$G$152,0))</f>
        <v>0</v>
      </c>
      <c r="D20" s="608">
        <f t="shared" si="17"/>
        <v>0</v>
      </c>
      <c r="E20" s="608">
        <f t="shared" si="17"/>
        <v>0</v>
      </c>
      <c r="F20" s="608">
        <f t="shared" si="17"/>
        <v>0</v>
      </c>
      <c r="G20" s="609">
        <f t="shared" si="17"/>
        <v>0</v>
      </c>
      <c r="I20" s="49" t="s">
        <v>435</v>
      </c>
      <c r="J20" s="577"/>
      <c r="O20" s="582">
        <f t="shared" si="3"/>
        <v>4</v>
      </c>
      <c r="P20" s="583">
        <f>'Meteorological data'!F20</f>
        <v>8.6078582572673631E-2</v>
      </c>
      <c r="Q20" s="583">
        <f>'Meteorological data'!G20</f>
        <v>4.5662100456621002E-2</v>
      </c>
      <c r="R20" s="584">
        <v>400</v>
      </c>
      <c r="S20" s="585">
        <f t="shared" si="0"/>
        <v>133.33333333333331</v>
      </c>
      <c r="T20" s="585" t="e">
        <f t="shared" si="4"/>
        <v>#VALUE!</v>
      </c>
      <c r="U20" s="585">
        <f t="shared" si="5"/>
        <v>0</v>
      </c>
      <c r="V20" s="585" t="e">
        <f t="shared" si="1"/>
        <v>#VALUE!</v>
      </c>
      <c r="W20" s="574" t="e">
        <f t="shared" si="2"/>
        <v>#VALUE!</v>
      </c>
      <c r="X20" s="574">
        <f t="shared" ref="X20:X22" si="20">(($X$23-$X$18)/($O$23-$O$18))*(O20-$O$18)+$X$18</f>
        <v>0</v>
      </c>
      <c r="Y20" s="585" t="e">
        <f t="shared" si="15"/>
        <v>#VALUE!</v>
      </c>
      <c r="Z20" s="585" t="e">
        <f t="shared" si="8"/>
        <v>#VALUE!</v>
      </c>
      <c r="AA20" s="585" t="e">
        <f t="shared" si="9"/>
        <v>#VALUE!</v>
      </c>
      <c r="AB20" s="585" t="e">
        <f t="shared" si="10"/>
        <v>#VALUE!</v>
      </c>
      <c r="AC20" s="586" t="e">
        <f t="shared" si="11"/>
        <v>#VALUE!</v>
      </c>
      <c r="AF20" s="571">
        <v>0.95</v>
      </c>
      <c r="AG20" s="571">
        <v>0</v>
      </c>
      <c r="AH20" s="571">
        <v>0</v>
      </c>
      <c r="AI20" s="571">
        <v>0.01</v>
      </c>
    </row>
    <row r="21" spans="1:35" ht="15.75">
      <c r="A21" s="589" t="str">
        <f t="shared" si="18"/>
        <v>High Temperature COP  (kW/kW)</v>
      </c>
      <c r="B21" s="600" t="str">
        <f t="shared" si="16"/>
        <v>Based on test data according to I.S. EN 14825</v>
      </c>
      <c r="C21" s="608">
        <f t="shared" si="19"/>
        <v>0</v>
      </c>
      <c r="D21" s="608">
        <f t="shared" si="17"/>
        <v>0</v>
      </c>
      <c r="E21" s="608">
        <f t="shared" si="17"/>
        <v>0</v>
      </c>
      <c r="F21" s="608">
        <f t="shared" si="17"/>
        <v>0</v>
      </c>
      <c r="G21" s="609">
        <f t="shared" si="17"/>
        <v>0</v>
      </c>
      <c r="I21" s="49" t="s">
        <v>435</v>
      </c>
      <c r="J21" s="577"/>
      <c r="O21" s="582">
        <f t="shared" si="3"/>
        <v>5</v>
      </c>
      <c r="P21" s="583">
        <f>'Meteorological data'!F21</f>
        <v>8.7979484604486846E-2</v>
      </c>
      <c r="Q21" s="583">
        <f>'Meteorological data'!G21</f>
        <v>5.0913242009132421E-2</v>
      </c>
      <c r="R21" s="584">
        <v>446</v>
      </c>
      <c r="S21" s="585">
        <f t="shared" si="0"/>
        <v>148.66666666666666</v>
      </c>
      <c r="T21" s="585" t="e">
        <f t="shared" si="4"/>
        <v>#VALUE!</v>
      </c>
      <c r="U21" s="585">
        <f t="shared" si="5"/>
        <v>0</v>
      </c>
      <c r="V21" s="585" t="e">
        <f t="shared" si="1"/>
        <v>#VALUE!</v>
      </c>
      <c r="W21" s="574" t="e">
        <f t="shared" si="2"/>
        <v>#VALUE!</v>
      </c>
      <c r="X21" s="574">
        <f t="shared" si="20"/>
        <v>0</v>
      </c>
      <c r="Y21" s="585" t="e">
        <f t="shared" si="15"/>
        <v>#VALUE!</v>
      </c>
      <c r="Z21" s="585" t="e">
        <f t="shared" si="8"/>
        <v>#VALUE!</v>
      </c>
      <c r="AA21" s="585" t="e">
        <f t="shared" si="9"/>
        <v>#VALUE!</v>
      </c>
      <c r="AB21" s="585" t="e">
        <f t="shared" si="10"/>
        <v>#VALUE!</v>
      </c>
      <c r="AC21" s="586" t="e">
        <f t="shared" si="11"/>
        <v>#VALUE!</v>
      </c>
      <c r="AF21" s="571">
        <v>1</v>
      </c>
      <c r="AG21" s="571">
        <v>0</v>
      </c>
      <c r="AH21" s="571">
        <v>0</v>
      </c>
      <c r="AI21" s="571">
        <v>0.01</v>
      </c>
    </row>
    <row r="22" spans="1:35" ht="15.75">
      <c r="A22" s="603" t="str">
        <f t="shared" si="18"/>
        <v>Very high Temperature COP  (kW/kW)</v>
      </c>
      <c r="B22" s="600" t="str">
        <f t="shared" si="16"/>
        <v>Based on test data according to I.S. EN 14825</v>
      </c>
      <c r="C22" s="610">
        <f t="shared" si="19"/>
        <v>0</v>
      </c>
      <c r="D22" s="610">
        <f t="shared" si="17"/>
        <v>0</v>
      </c>
      <c r="E22" s="610">
        <f t="shared" si="17"/>
        <v>0</v>
      </c>
      <c r="F22" s="610">
        <f t="shared" si="17"/>
        <v>0</v>
      </c>
      <c r="G22" s="611">
        <f t="shared" si="17"/>
        <v>0</v>
      </c>
      <c r="I22" s="49" t="s">
        <v>435</v>
      </c>
      <c r="J22" s="577"/>
      <c r="O22" s="582">
        <f t="shared" si="3"/>
        <v>6</v>
      </c>
      <c r="P22" s="583">
        <f>'Meteorological data'!F22</f>
        <v>9.7735057296056527E-2</v>
      </c>
      <c r="Q22" s="583">
        <f>'Meteorological data'!G22</f>
        <v>6.2214611872146115E-2</v>
      </c>
      <c r="R22" s="584">
        <v>545</v>
      </c>
      <c r="S22" s="585">
        <f t="shared" si="0"/>
        <v>181.66666666666666</v>
      </c>
      <c r="T22" s="585" t="e">
        <f t="shared" si="4"/>
        <v>#VALUE!</v>
      </c>
      <c r="U22" s="585">
        <f t="shared" si="5"/>
        <v>0</v>
      </c>
      <c r="V22" s="585" t="e">
        <f t="shared" si="1"/>
        <v>#VALUE!</v>
      </c>
      <c r="W22" s="574" t="e">
        <f t="shared" si="2"/>
        <v>#VALUE!</v>
      </c>
      <c r="X22" s="574">
        <f t="shared" si="20"/>
        <v>0</v>
      </c>
      <c r="Y22" s="585" t="e">
        <f t="shared" si="15"/>
        <v>#VALUE!</v>
      </c>
      <c r="Z22" s="585" t="e">
        <f t="shared" si="8"/>
        <v>#VALUE!</v>
      </c>
      <c r="AA22" s="585" t="e">
        <f t="shared" si="9"/>
        <v>#VALUE!</v>
      </c>
      <c r="AB22" s="585" t="e">
        <f t="shared" si="10"/>
        <v>#VALUE!</v>
      </c>
      <c r="AC22" s="586" t="e">
        <f t="shared" si="11"/>
        <v>#VALUE!</v>
      </c>
      <c r="AF22" s="571">
        <v>1.05</v>
      </c>
      <c r="AG22" s="571">
        <v>0</v>
      </c>
      <c r="AH22" s="571">
        <v>0</v>
      </c>
      <c r="AI22" s="571">
        <v>0</v>
      </c>
    </row>
    <row r="23" spans="1:35" ht="15.75">
      <c r="A23" s="596" t="str">
        <f>$E119&amp;" Heating Capacity (kW)"</f>
        <v>Low Temperature Heating Capacity (kW)</v>
      </c>
      <c r="B23" s="597" t="str">
        <f t="shared" si="16"/>
        <v>Based on test data according to I.S. EN 14825</v>
      </c>
      <c r="C23" s="606">
        <f t="shared" si="19"/>
        <v>0</v>
      </c>
      <c r="D23" s="606">
        <f t="shared" si="17"/>
        <v>0</v>
      </c>
      <c r="E23" s="606">
        <f t="shared" si="17"/>
        <v>0</v>
      </c>
      <c r="F23" s="606">
        <f t="shared" si="17"/>
        <v>0</v>
      </c>
      <c r="G23" s="607">
        <f t="shared" si="17"/>
        <v>0</v>
      </c>
      <c r="I23" s="49" t="s">
        <v>436</v>
      </c>
      <c r="J23" s="577"/>
      <c r="K23" s="572"/>
      <c r="M23" s="572"/>
      <c r="O23" s="590">
        <f t="shared" si="3"/>
        <v>7</v>
      </c>
      <c r="P23" s="591">
        <f>'Meteorological data'!F23</f>
        <v>9.7322597421229132E-2</v>
      </c>
      <c r="Q23" s="591">
        <f>'Meteorological data'!G23</f>
        <v>6.8835616438356159E-2</v>
      </c>
      <c r="R23" s="592">
        <v>603</v>
      </c>
      <c r="S23" s="593">
        <f t="shared" si="0"/>
        <v>201</v>
      </c>
      <c r="T23" s="593" t="e">
        <f t="shared" si="4"/>
        <v>#VALUE!</v>
      </c>
      <c r="U23" s="593">
        <f t="shared" si="5"/>
        <v>0</v>
      </c>
      <c r="V23" s="585" t="e">
        <f t="shared" si="1"/>
        <v>#VALUE!</v>
      </c>
      <c r="W23" s="594" t="e">
        <f t="shared" si="2"/>
        <v>#VALUE!</v>
      </c>
      <c r="X23" s="594">
        <f>F41</f>
        <v>0</v>
      </c>
      <c r="Y23" s="593" t="e">
        <f t="shared" si="15"/>
        <v>#VALUE!</v>
      </c>
      <c r="Z23" s="593" t="e">
        <f t="shared" si="8"/>
        <v>#VALUE!</v>
      </c>
      <c r="AA23" s="593" t="e">
        <f t="shared" si="9"/>
        <v>#VALUE!</v>
      </c>
      <c r="AB23" s="593" t="e">
        <f t="shared" si="10"/>
        <v>#VALUE!</v>
      </c>
      <c r="AC23" s="595" t="e">
        <f t="shared" si="11"/>
        <v>#VALUE!</v>
      </c>
    </row>
    <row r="24" spans="1:35" ht="15.75">
      <c r="A24" s="589" t="str">
        <f t="shared" ref="A24:A26" si="21">$E120&amp;" Heating Capacity (kW)"</f>
        <v>Medium Temperature Heating Capacity (kW)</v>
      </c>
      <c r="B24" s="600" t="str">
        <f t="shared" si="16"/>
        <v>Based on test data according to I.S. EN 14825</v>
      </c>
      <c r="C24" s="608">
        <f t="shared" si="19"/>
        <v>0</v>
      </c>
      <c r="D24" s="608">
        <f t="shared" si="17"/>
        <v>0</v>
      </c>
      <c r="E24" s="608">
        <f t="shared" si="17"/>
        <v>0</v>
      </c>
      <c r="F24" s="608">
        <f t="shared" si="17"/>
        <v>0</v>
      </c>
      <c r="G24" s="609">
        <f t="shared" si="17"/>
        <v>0</v>
      </c>
      <c r="I24" s="49" t="s">
        <v>436</v>
      </c>
      <c r="J24" s="577"/>
      <c r="K24" s="572"/>
      <c r="M24" s="572"/>
      <c r="O24" s="582">
        <f t="shared" si="3"/>
        <v>8</v>
      </c>
      <c r="P24" s="583">
        <f>'Meteorological data'!F24</f>
        <v>9.4399512221365417E-2</v>
      </c>
      <c r="Q24" s="583">
        <f>'Meteorological data'!G24</f>
        <v>7.5114155251141554E-2</v>
      </c>
      <c r="R24" s="584">
        <v>658</v>
      </c>
      <c r="S24" s="585">
        <f t="shared" si="0"/>
        <v>219.33333333333331</v>
      </c>
      <c r="T24" s="585" t="e">
        <f t="shared" si="4"/>
        <v>#VALUE!</v>
      </c>
      <c r="U24" s="585">
        <f t="shared" si="5"/>
        <v>0</v>
      </c>
      <c r="V24" s="585" t="e">
        <f t="shared" si="1"/>
        <v>#VALUE!</v>
      </c>
      <c r="W24" s="574" t="e">
        <f t="shared" si="2"/>
        <v>#VALUE!</v>
      </c>
      <c r="X24" s="574">
        <f>(($X$28-$X$23)/($O$28-$O$23))*(O24-$O$23)+$X$23</f>
        <v>0</v>
      </c>
      <c r="Y24" s="585" t="e">
        <f t="shared" si="15"/>
        <v>#VALUE!</v>
      </c>
      <c r="Z24" s="585" t="e">
        <f t="shared" si="8"/>
        <v>#VALUE!</v>
      </c>
      <c r="AA24" s="585" t="e">
        <f t="shared" si="9"/>
        <v>#VALUE!</v>
      </c>
      <c r="AB24" s="585" t="e">
        <f t="shared" si="10"/>
        <v>#VALUE!</v>
      </c>
      <c r="AC24" s="586" t="e">
        <f t="shared" si="11"/>
        <v>#VALUE!</v>
      </c>
      <c r="AG24" s="583" t="e">
        <f>IF($J$47&lt;0.5,3.9048*$J$47^2-4.018*$J$47+1.045,0)</f>
        <v>#VALUE!</v>
      </c>
      <c r="AH24" s="583" t="e">
        <f>IF($J$47&lt;0.7,2.0699*$J$47^2-2.8993*$J$47+1.0265,0)</f>
        <v>#VALUE!</v>
      </c>
      <c r="AI24" s="583" t="e">
        <f>IF($J$47&lt;1,1.1182*$J$47^2-2.1276*$J$47+1.0252,0)</f>
        <v>#VALUE!</v>
      </c>
    </row>
    <row r="25" spans="1:35" ht="15.75">
      <c r="A25" s="589" t="str">
        <f t="shared" si="21"/>
        <v>High Temperature Heating Capacity (kW)</v>
      </c>
      <c r="B25" s="600" t="str">
        <f t="shared" si="16"/>
        <v>Based on test data according to I.S. EN 14825</v>
      </c>
      <c r="C25" s="608">
        <f t="shared" si="19"/>
        <v>0</v>
      </c>
      <c r="D25" s="608">
        <f t="shared" si="17"/>
        <v>0</v>
      </c>
      <c r="E25" s="608">
        <f t="shared" si="17"/>
        <v>0</v>
      </c>
      <c r="F25" s="608">
        <f t="shared" si="17"/>
        <v>0</v>
      </c>
      <c r="G25" s="609">
        <f t="shared" si="17"/>
        <v>0</v>
      </c>
      <c r="I25" s="49" t="s">
        <v>436</v>
      </c>
      <c r="J25" s="577"/>
      <c r="K25" s="572"/>
      <c r="M25" s="572"/>
      <c r="O25" s="582">
        <f t="shared" si="3"/>
        <v>9</v>
      </c>
      <c r="P25" s="583">
        <f>'Meteorological data'!F25</f>
        <v>8.5486792317486501E-2</v>
      </c>
      <c r="Q25" s="583">
        <f>'Meteorological data'!G25</f>
        <v>7.773972602739726E-2</v>
      </c>
      <c r="R25" s="584">
        <v>681</v>
      </c>
      <c r="S25" s="585">
        <f t="shared" si="0"/>
        <v>227</v>
      </c>
      <c r="T25" s="585" t="e">
        <f t="shared" si="4"/>
        <v>#VALUE!</v>
      </c>
      <c r="U25" s="585">
        <f t="shared" si="5"/>
        <v>0</v>
      </c>
      <c r="V25" s="585" t="e">
        <f t="shared" si="1"/>
        <v>#VALUE!</v>
      </c>
      <c r="W25" s="574" t="e">
        <f t="shared" si="2"/>
        <v>#VALUE!</v>
      </c>
      <c r="X25" s="574">
        <f t="shared" ref="X25:X30" si="22">(($X$28-$X$23)/($O$28-$O$23))*(O25-$O$23)+$X$23</f>
        <v>0</v>
      </c>
      <c r="Y25" s="585" t="e">
        <f t="shared" si="15"/>
        <v>#VALUE!</v>
      </c>
      <c r="Z25" s="585" t="e">
        <f t="shared" si="8"/>
        <v>#VALUE!</v>
      </c>
      <c r="AA25" s="585" t="e">
        <f t="shared" si="9"/>
        <v>#VALUE!</v>
      </c>
      <c r="AB25" s="585" t="e">
        <f t="shared" si="10"/>
        <v>#VALUE!</v>
      </c>
      <c r="AC25" s="586" t="e">
        <f t="shared" si="11"/>
        <v>#VALUE!</v>
      </c>
    </row>
    <row r="26" spans="1:35" ht="15.75">
      <c r="A26" s="603" t="str">
        <f t="shared" si="21"/>
        <v>Very high Temperature Heating Capacity (kW)</v>
      </c>
      <c r="B26" s="600" t="str">
        <f t="shared" si="16"/>
        <v>Based on test data according to I.S. EN 14825</v>
      </c>
      <c r="C26" s="610">
        <f t="shared" si="19"/>
        <v>0</v>
      </c>
      <c r="D26" s="610">
        <f t="shared" si="17"/>
        <v>0</v>
      </c>
      <c r="E26" s="610">
        <f t="shared" si="17"/>
        <v>0</v>
      </c>
      <c r="F26" s="610">
        <f t="shared" si="17"/>
        <v>0</v>
      </c>
      <c r="G26" s="611">
        <f t="shared" si="17"/>
        <v>0</v>
      </c>
      <c r="I26" s="49" t="s">
        <v>436</v>
      </c>
      <c r="J26" s="578"/>
      <c r="O26" s="582">
        <f t="shared" si="3"/>
        <v>10</v>
      </c>
      <c r="P26" s="583">
        <f>'Meteorological data'!F26</f>
        <v>6.875526782992307E-2</v>
      </c>
      <c r="Q26" s="583">
        <f>'Meteorological data'!G26</f>
        <v>7.294520547945206E-2</v>
      </c>
      <c r="R26" s="584">
        <v>639</v>
      </c>
      <c r="S26" s="585">
        <f t="shared" si="0"/>
        <v>213</v>
      </c>
      <c r="T26" s="585" t="e">
        <f t="shared" si="4"/>
        <v>#VALUE!</v>
      </c>
      <c r="U26" s="585">
        <f t="shared" si="5"/>
        <v>0</v>
      </c>
      <c r="V26" s="585" t="e">
        <f t="shared" si="1"/>
        <v>#VALUE!</v>
      </c>
      <c r="W26" s="574" t="e">
        <f t="shared" si="2"/>
        <v>#VALUE!</v>
      </c>
      <c r="X26" s="574">
        <f t="shared" si="22"/>
        <v>0</v>
      </c>
      <c r="Y26" s="585" t="e">
        <f t="shared" si="15"/>
        <v>#VALUE!</v>
      </c>
      <c r="Z26" s="585" t="e">
        <f t="shared" si="8"/>
        <v>#VALUE!</v>
      </c>
      <c r="AA26" s="585" t="e">
        <f t="shared" si="9"/>
        <v>#VALUE!</v>
      </c>
      <c r="AB26" s="585" t="e">
        <f t="shared" si="10"/>
        <v>#VALUE!</v>
      </c>
      <c r="AC26" s="586" t="e">
        <f t="shared" si="11"/>
        <v>#VALUE!</v>
      </c>
    </row>
    <row r="27" spans="1:35" ht="13.5" thickBot="1">
      <c r="B27" s="325" t="s">
        <v>566</v>
      </c>
      <c r="C27" s="326" t="s">
        <v>563</v>
      </c>
      <c r="D27" s="326" t="s">
        <v>559</v>
      </c>
      <c r="E27" s="612" t="s">
        <v>560</v>
      </c>
      <c r="F27" s="326" t="s">
        <v>561</v>
      </c>
      <c r="G27" s="326" t="s">
        <v>562</v>
      </c>
      <c r="J27" s="578"/>
      <c r="O27" s="582">
        <f t="shared" si="3"/>
        <v>11</v>
      </c>
      <c r="P27" s="583">
        <f>'Meteorological data'!F27</f>
        <v>5.9179025518713124E-2</v>
      </c>
      <c r="Q27" s="583">
        <f>'Meteorological data'!G27</f>
        <v>7.5342465753424653E-2</v>
      </c>
      <c r="R27" s="584">
        <v>660</v>
      </c>
      <c r="S27" s="585">
        <f t="shared" si="0"/>
        <v>220</v>
      </c>
      <c r="T27" s="585" t="e">
        <f t="shared" si="4"/>
        <v>#VALUE!</v>
      </c>
      <c r="U27" s="585">
        <f t="shared" si="5"/>
        <v>0</v>
      </c>
      <c r="V27" s="585" t="e">
        <f t="shared" si="1"/>
        <v>#VALUE!</v>
      </c>
      <c r="W27" s="574" t="e">
        <f t="shared" si="2"/>
        <v>#VALUE!</v>
      </c>
      <c r="X27" s="574">
        <f t="shared" si="22"/>
        <v>0</v>
      </c>
      <c r="Y27" s="585" t="e">
        <f t="shared" si="15"/>
        <v>#VALUE!</v>
      </c>
      <c r="Z27" s="585" t="e">
        <f t="shared" si="8"/>
        <v>#VALUE!</v>
      </c>
      <c r="AA27" s="585" t="e">
        <f t="shared" si="9"/>
        <v>#VALUE!</v>
      </c>
      <c r="AB27" s="585" t="e">
        <f t="shared" si="10"/>
        <v>#VALUE!</v>
      </c>
      <c r="AC27" s="586" t="e">
        <f t="shared" si="11"/>
        <v>#VALUE!</v>
      </c>
    </row>
    <row r="28" spans="1:35">
      <c r="A28" s="571" t="s">
        <v>236</v>
      </c>
      <c r="B28" s="613" t="s">
        <v>237</v>
      </c>
      <c r="C28" s="614" t="str">
        <f>IF(C30="Yes",$E$125,
IF($E$132="Low temperature heat pump",$E$123,
IF($E$107&lt;=45,IF($E$128="Yes",$E$123,IF($E$129="Yes",$E$124,$E$125)),
IF($E$107&lt;=55,IF($E$129="Yes",$E$124,IF($E$128="Yes",$E$123,$E$125)),
$E$125))))</f>
        <v>High</v>
      </c>
      <c r="D28" s="197"/>
      <c r="E28" s="615"/>
      <c r="I28" s="571" t="s">
        <v>1</v>
      </c>
      <c r="J28" s="578"/>
      <c r="O28" s="590">
        <f t="shared" si="3"/>
        <v>12</v>
      </c>
      <c r="P28" s="591">
        <f>'Meteorological data'!F28</f>
        <v>4.3756612807775763E-2</v>
      </c>
      <c r="Q28" s="591">
        <f>'Meteorological data'!G28</f>
        <v>6.9634703196347028E-2</v>
      </c>
      <c r="R28" s="592">
        <v>610</v>
      </c>
      <c r="S28" s="593">
        <f t="shared" si="0"/>
        <v>203.33333333333331</v>
      </c>
      <c r="T28" s="593" t="e">
        <f t="shared" si="4"/>
        <v>#VALUE!</v>
      </c>
      <c r="U28" s="593">
        <f t="shared" si="5"/>
        <v>0</v>
      </c>
      <c r="V28" s="585" t="e">
        <f t="shared" si="1"/>
        <v>#VALUE!</v>
      </c>
      <c r="W28" s="594" t="e">
        <f t="shared" si="2"/>
        <v>#VALUE!</v>
      </c>
      <c r="X28" s="594">
        <f>G41</f>
        <v>0</v>
      </c>
      <c r="Y28" s="593" t="e">
        <f t="shared" si="15"/>
        <v>#VALUE!</v>
      </c>
      <c r="Z28" s="593" t="e">
        <f t="shared" si="8"/>
        <v>#VALUE!</v>
      </c>
      <c r="AA28" s="593" t="e">
        <f t="shared" si="9"/>
        <v>#VALUE!</v>
      </c>
      <c r="AB28" s="593" t="e">
        <f t="shared" si="10"/>
        <v>#VALUE!</v>
      </c>
      <c r="AC28" s="595" t="e">
        <f t="shared" si="11"/>
        <v>#VALUE!</v>
      </c>
    </row>
    <row r="29" spans="1:35">
      <c r="B29" s="616" t="s">
        <v>238</v>
      </c>
      <c r="C29" s="617" t="str">
        <f>IF(C30="Yes","Error",
IF($E$132="Low temperature heat pump",IF($E$129="Yes",$E$124,"Error"),
IF($E$107&lt;=45,IF(C28=$E$123,IF($E$129="Yes",$E$124,$E$125),IF(C28=$E$124,$E$125,"Error")),
IF($E$107&lt;=55,IF(C28=$E$123,$E$125,IF(C28=$E$124,$E$125,"Error")),
IF($E$130="Yes",$E$126,"Error")))))</f>
        <v>Error</v>
      </c>
      <c r="D29" s="197"/>
      <c r="E29" s="615"/>
      <c r="J29" s="578"/>
      <c r="N29" s="578"/>
      <c r="O29" s="582">
        <f t="shared" si="3"/>
        <v>13</v>
      </c>
      <c r="P29" s="583">
        <f>'Meteorological data'!F29</f>
        <v>3.1311084410810035E-2</v>
      </c>
      <c r="Q29" s="583">
        <f>'Meteorological data'!G29</f>
        <v>6.6438356164383566E-2</v>
      </c>
      <c r="R29" s="584">
        <v>582</v>
      </c>
      <c r="S29" s="585">
        <f t="shared" si="0"/>
        <v>194</v>
      </c>
      <c r="T29" s="585" t="e">
        <f t="shared" si="4"/>
        <v>#VALUE!</v>
      </c>
      <c r="U29" s="585">
        <f t="shared" si="5"/>
        <v>0</v>
      </c>
      <c r="V29" s="585" t="e">
        <f t="shared" si="1"/>
        <v>#VALUE!</v>
      </c>
      <c r="W29" s="574" t="e">
        <f t="shared" si="2"/>
        <v>#VALUE!</v>
      </c>
      <c r="X29" s="574">
        <f t="shared" si="22"/>
        <v>0</v>
      </c>
      <c r="Y29" s="585" t="e">
        <f t="shared" si="15"/>
        <v>#VALUE!</v>
      </c>
      <c r="Z29" s="585" t="e">
        <f t="shared" si="8"/>
        <v>#VALUE!</v>
      </c>
      <c r="AA29" s="585" t="e">
        <f t="shared" si="9"/>
        <v>#VALUE!</v>
      </c>
      <c r="AB29" s="585" t="e">
        <f t="shared" si="10"/>
        <v>#VALUE!</v>
      </c>
      <c r="AC29" s="586" t="e">
        <f t="shared" si="11"/>
        <v>#VALUE!</v>
      </c>
    </row>
    <row r="30" spans="1:35" ht="13.5" thickBot="1">
      <c r="B30" s="618" t="s">
        <v>239</v>
      </c>
      <c r="C30" s="619" t="str">
        <f>$E$106</f>
        <v>No</v>
      </c>
      <c r="D30" s="197"/>
      <c r="E30" s="615"/>
      <c r="J30" s="578"/>
      <c r="N30" s="578"/>
      <c r="O30" s="582">
        <f t="shared" si="3"/>
        <v>14</v>
      </c>
      <c r="P30" s="583">
        <f>'Meteorological data'!F30</f>
        <v>1.7251582590606676E-2</v>
      </c>
      <c r="Q30" s="583">
        <f>'Meteorological data'!G30</f>
        <v>5.4908675799086759E-2</v>
      </c>
      <c r="R30" s="584">
        <v>481</v>
      </c>
      <c r="S30" s="585">
        <f t="shared" si="0"/>
        <v>160.33333333333331</v>
      </c>
      <c r="T30" s="585" t="e">
        <f t="shared" si="4"/>
        <v>#VALUE!</v>
      </c>
      <c r="U30" s="585">
        <f t="shared" si="5"/>
        <v>0</v>
      </c>
      <c r="V30" s="585" t="e">
        <f t="shared" si="1"/>
        <v>#VALUE!</v>
      </c>
      <c r="W30" s="574" t="e">
        <f t="shared" si="2"/>
        <v>#VALUE!</v>
      </c>
      <c r="X30" s="574">
        <f t="shared" si="22"/>
        <v>0</v>
      </c>
      <c r="Y30" s="585" t="e">
        <f t="shared" si="15"/>
        <v>#VALUE!</v>
      </c>
      <c r="Z30" s="585" t="e">
        <f t="shared" si="8"/>
        <v>#VALUE!</v>
      </c>
      <c r="AA30" s="585" t="e">
        <f t="shared" si="9"/>
        <v>#VALUE!</v>
      </c>
      <c r="AB30" s="585" t="e">
        <f t="shared" si="10"/>
        <v>#VALUE!</v>
      </c>
      <c r="AC30" s="586" t="e">
        <f t="shared" si="11"/>
        <v>#VALUE!</v>
      </c>
    </row>
    <row r="31" spans="1:35" ht="14.25">
      <c r="A31" s="572" t="s">
        <v>439</v>
      </c>
      <c r="B31" s="571" t="str">
        <f>C28</f>
        <v>High</v>
      </c>
      <c r="C31" s="571">
        <f>IF($C$28=$E$123,C15,IF($C$28=$E$124,C16,C17))</f>
        <v>55</v>
      </c>
      <c r="D31" s="571">
        <f t="shared" ref="D31:G31" si="23">IF($C$28=$E$123,D15,IF($C$28=$E$124,D16,D17))</f>
        <v>55</v>
      </c>
      <c r="E31" s="571">
        <f t="shared" si="23"/>
        <v>55</v>
      </c>
      <c r="F31" s="571">
        <f t="shared" si="23"/>
        <v>55</v>
      </c>
      <c r="G31" s="571">
        <f t="shared" si="23"/>
        <v>55</v>
      </c>
      <c r="I31" s="578"/>
      <c r="J31" s="578"/>
      <c r="O31" s="582">
        <f t="shared" si="3"/>
        <v>15</v>
      </c>
      <c r="P31" s="583">
        <f>'Meteorological data'!F31</f>
        <v>9.002385094058785E-3</v>
      </c>
      <c r="Q31" s="583">
        <f>'Meteorological data'!G31</f>
        <v>5.7305936073059359E-2</v>
      </c>
      <c r="R31" s="584">
        <v>502</v>
      </c>
      <c r="S31" s="585">
        <f t="shared" si="0"/>
        <v>167.33333333333331</v>
      </c>
      <c r="T31" s="585" t="e">
        <f t="shared" si="4"/>
        <v>#VALUE!</v>
      </c>
      <c r="U31" s="585">
        <f t="shared" si="5"/>
        <v>0</v>
      </c>
      <c r="V31" s="585" t="e">
        <f t="shared" si="1"/>
        <v>#VALUE!</v>
      </c>
      <c r="W31" s="574" t="e">
        <f t="shared" si="2"/>
        <v>#VALUE!</v>
      </c>
      <c r="X31" s="574">
        <f>(($X$28-$X$23)/($O$28-$O$23))*(O31-$O$23)+$X$23</f>
        <v>0</v>
      </c>
      <c r="Y31" s="585" t="e">
        <f t="shared" si="15"/>
        <v>#VALUE!</v>
      </c>
      <c r="Z31" s="585" t="e">
        <f t="shared" si="8"/>
        <v>#VALUE!</v>
      </c>
      <c r="AA31" s="585" t="e">
        <f t="shared" si="9"/>
        <v>#VALUE!</v>
      </c>
      <c r="AB31" s="585" t="e">
        <f t="shared" si="10"/>
        <v>#VALUE!</v>
      </c>
      <c r="AC31" s="586" t="e">
        <f t="shared" si="11"/>
        <v>#VALUE!</v>
      </c>
    </row>
    <row r="32" spans="1:35" ht="14.25">
      <c r="A32" s="572" t="s">
        <v>440</v>
      </c>
      <c r="B32" s="571" t="str">
        <f>C29</f>
        <v>Error</v>
      </c>
      <c r="C32" s="571">
        <f>IF($C$29=$E$126,C18,IF($C$29=$E$125,C17,IF($C$29="Error",0,C16)))</f>
        <v>0</v>
      </c>
      <c r="D32" s="571">
        <f t="shared" ref="D32:G32" si="24">IF($C$29=$E$126,D18,IF($C$29=$E$125,D17,IF($C$29="Error",0,D16)))</f>
        <v>0</v>
      </c>
      <c r="E32" s="571">
        <f t="shared" si="24"/>
        <v>0</v>
      </c>
      <c r="F32" s="571">
        <f t="shared" si="24"/>
        <v>0</v>
      </c>
      <c r="G32" s="571">
        <f t="shared" si="24"/>
        <v>0</v>
      </c>
      <c r="J32" s="578"/>
      <c r="O32" s="582">
        <f t="shared" si="3"/>
        <v>16</v>
      </c>
      <c r="Q32" s="583">
        <f>'Meteorological data'!G32</f>
        <v>4.3721461187214615E-2</v>
      </c>
      <c r="R32" s="584">
        <v>383</v>
      </c>
      <c r="S32" s="585">
        <f t="shared" si="0"/>
        <v>127.66666666666666</v>
      </c>
      <c r="U32" s="585">
        <f t="shared" si="5"/>
        <v>0</v>
      </c>
      <c r="V32" s="585">
        <f t="shared" si="1"/>
        <v>0</v>
      </c>
      <c r="W32" s="574" t="s">
        <v>1</v>
      </c>
    </row>
    <row r="33" spans="1:24" ht="13.5" thickBot="1">
      <c r="A33" s="572" t="s">
        <v>240</v>
      </c>
      <c r="B33" s="571" t="str">
        <f>C28</f>
        <v>High</v>
      </c>
      <c r="C33" s="574">
        <f>IF($C$28=$E$123,C19,IF($C$28=$E$124,C20,C21))</f>
        <v>0</v>
      </c>
      <c r="D33" s="574">
        <f t="shared" ref="D33:G33" si="25">IF($C$28=$E$123,D19,IF($C$28=$E$124,D20,D21))</f>
        <v>0</v>
      </c>
      <c r="E33" s="574">
        <f t="shared" si="25"/>
        <v>0</v>
      </c>
      <c r="F33" s="574">
        <f t="shared" si="25"/>
        <v>0</v>
      </c>
      <c r="G33" s="574">
        <f t="shared" si="25"/>
        <v>0</v>
      </c>
      <c r="J33" s="578"/>
      <c r="O33" s="582">
        <f t="shared" si="3"/>
        <v>17</v>
      </c>
      <c r="Q33" s="583">
        <f>'Meteorological data'!G33</f>
        <v>2.9566210045662102E-2</v>
      </c>
      <c r="R33" s="584">
        <v>259</v>
      </c>
      <c r="S33" s="585">
        <f t="shared" si="0"/>
        <v>86.333333333333329</v>
      </c>
      <c r="U33" s="585">
        <f t="shared" si="5"/>
        <v>0</v>
      </c>
      <c r="V33" s="585">
        <f t="shared" si="1"/>
        <v>0</v>
      </c>
      <c r="W33" s="574" t="s">
        <v>1</v>
      </c>
    </row>
    <row r="34" spans="1:24">
      <c r="A34" s="572" t="s">
        <v>241</v>
      </c>
      <c r="B34" s="571" t="str">
        <f>C29</f>
        <v>Error</v>
      </c>
      <c r="C34" s="574">
        <f>IF($C$29=$E$126,C22,IF($C$29=$E$125,C21,IF($C$29="Error",0,C20)))</f>
        <v>0</v>
      </c>
      <c r="D34" s="574">
        <f t="shared" ref="D34:G34" si="26">IF($C$29=$E$126,D22,IF($C$29=$E$125,D21,IF($C$29="Error",0,D20)))</f>
        <v>0</v>
      </c>
      <c r="E34" s="574">
        <f t="shared" si="26"/>
        <v>0</v>
      </c>
      <c r="F34" s="574">
        <f t="shared" si="26"/>
        <v>0</v>
      </c>
      <c r="G34" s="574">
        <f t="shared" si="26"/>
        <v>0</v>
      </c>
      <c r="I34" s="620" t="s">
        <v>441</v>
      </c>
      <c r="J34" s="578"/>
      <c r="O34" s="582">
        <f t="shared" si="3"/>
        <v>18</v>
      </c>
      <c r="Q34" s="583">
        <f>'Meteorological data'!G34</f>
        <v>1.9406392694063926E-2</v>
      </c>
      <c r="R34" s="584">
        <v>170</v>
      </c>
      <c r="S34" s="585">
        <f t="shared" si="0"/>
        <v>56.666666666666664</v>
      </c>
      <c r="U34" s="585">
        <f t="shared" si="5"/>
        <v>0</v>
      </c>
      <c r="V34" s="585">
        <f t="shared" si="1"/>
        <v>0</v>
      </c>
      <c r="W34" s="574" t="s">
        <v>1</v>
      </c>
    </row>
    <row r="35" spans="1:24" ht="13.5" thickBot="1">
      <c r="A35" s="572" t="s">
        <v>242</v>
      </c>
      <c r="B35" s="571" t="str">
        <f>C28</f>
        <v>High</v>
      </c>
      <c r="C35" s="574">
        <f>IF($C$28=$E$123,C23,IF($C$28=$E$124,C24,C25))</f>
        <v>0</v>
      </c>
      <c r="D35" s="574">
        <f t="shared" ref="D35:G35" si="27">IF($C$28=$E$123,D23,IF($C$28=$E$124,D24,D25))</f>
        <v>0</v>
      </c>
      <c r="E35" s="574">
        <f t="shared" si="27"/>
        <v>0</v>
      </c>
      <c r="F35" s="574">
        <f t="shared" si="27"/>
        <v>0</v>
      </c>
      <c r="G35" s="574">
        <f t="shared" si="27"/>
        <v>0</v>
      </c>
      <c r="I35" s="621">
        <f>IF(E132="Low temperature heat pump",35,55)</f>
        <v>55</v>
      </c>
      <c r="J35" s="578"/>
      <c r="O35" s="582">
        <f t="shared" si="3"/>
        <v>19</v>
      </c>
      <c r="Q35" s="583">
        <f>'Meteorological data'!G35</f>
        <v>1.2785388127853882E-2</v>
      </c>
      <c r="R35" s="584">
        <v>112</v>
      </c>
      <c r="S35" s="585">
        <f t="shared" si="0"/>
        <v>37.333333333333329</v>
      </c>
      <c r="U35" s="585">
        <f t="shared" si="5"/>
        <v>0</v>
      </c>
      <c r="V35" s="585">
        <f t="shared" si="1"/>
        <v>0</v>
      </c>
      <c r="W35" s="574" t="s">
        <v>1</v>
      </c>
    </row>
    <row r="36" spans="1:24">
      <c r="A36" s="572" t="s">
        <v>243</v>
      </c>
      <c r="B36" s="571" t="str">
        <f>C29</f>
        <v>Error</v>
      </c>
      <c r="C36" s="574">
        <f>IF($C$29=$E$126,C26,IF($C$29=$E$125,C25,IF($C$29="Error",0,C24)))</f>
        <v>0</v>
      </c>
      <c r="D36" s="574">
        <f t="shared" ref="D36:G36" si="28">IF($C$29=$E$126,D26,IF($C$29=$E$125,D25,IF($C$29="Error",0,D24)))</f>
        <v>0</v>
      </c>
      <c r="E36" s="574">
        <f t="shared" si="28"/>
        <v>0</v>
      </c>
      <c r="F36" s="574">
        <f t="shared" si="28"/>
        <v>0</v>
      </c>
      <c r="G36" s="574">
        <f t="shared" si="28"/>
        <v>0</v>
      </c>
      <c r="J36" s="578"/>
      <c r="O36" s="582">
        <f t="shared" si="3"/>
        <v>20</v>
      </c>
      <c r="Q36" s="583">
        <f>'Meteorological data'!G36</f>
        <v>7.6484018264840184E-3</v>
      </c>
      <c r="R36" s="584">
        <v>67</v>
      </c>
      <c r="S36" s="585">
        <f t="shared" si="0"/>
        <v>22.333333333333332</v>
      </c>
      <c r="U36" s="585">
        <f t="shared" si="5"/>
        <v>0</v>
      </c>
      <c r="V36" s="585">
        <f t="shared" si="1"/>
        <v>0</v>
      </c>
      <c r="W36" s="574" t="s">
        <v>1</v>
      </c>
      <c r="X36" s="572" t="s">
        <v>244</v>
      </c>
    </row>
    <row r="37" spans="1:24" ht="42" customHeight="1">
      <c r="A37" s="578" t="s">
        <v>245</v>
      </c>
      <c r="B37" s="580" t="s">
        <v>403</v>
      </c>
      <c r="C37" s="622" t="e">
        <f>$E$105+(($E$109/2)*(($E$105-C3)/($E$105-$E$104)))+((AVERAGE($I$35,($I$35-$E$109))-$E$105)*(($E$105-C3)/($E$105-$E$104))^(1/$E$108))</f>
        <v>#VALUE!</v>
      </c>
      <c r="D37" s="622" t="e">
        <f>$E$105+(($E$109/2)*(($E$105-D3)/($E$105-$E$104)))+((AVERAGE($I$35,($I$35-$E$109))-$E$105)*(($E$105-D3)/($E$105-$E$104))^(1/$E$108))</f>
        <v>#VALUE!</v>
      </c>
      <c r="E37" s="622" t="e">
        <f>$E$105+(($E$109/2)*(($E$105-E3)/($E$105-$E$104)))+((AVERAGE($I$35,($I$35-$E$109))-$E$105)*(($E$105-E3)/($E$105-$E$104))^(1/$E$108))</f>
        <v>#VALUE!</v>
      </c>
      <c r="F37" s="622" t="e">
        <f>$E$105+(($E$109/2)*(($E$105-F3)/($E$105-$E$104)))+((AVERAGE($I$35,($I$35-$E$109))-$E$105)*(($E$105-F3)/($E$105-$E$104))^(1/$E$108))</f>
        <v>#VALUE!</v>
      </c>
      <c r="G37" s="622" t="e">
        <f>$E$105+(($E$109/2)*(($E$105-G3)/($E$105-$E$104)))+((AVERAGE($I$35,($I$35-$E$109))-$E$105)*(($E$105-G3)/($E$105-$E$104))^(1/$E$108))</f>
        <v>#VALUE!</v>
      </c>
      <c r="I37" s="577" t="str">
        <f>I35&amp;"degC basis for Supply Flow Temperature to meet the mandatory test points in Ecodesign, to use for single test point data"</f>
        <v>55degC basis for Supply Flow Temperature to meet the mandatory test points in Ecodesign, to use for single test point data</v>
      </c>
      <c r="J37" s="578"/>
      <c r="O37" s="582">
        <f t="shared" si="3"/>
        <v>21</v>
      </c>
      <c r="Q37" s="583">
        <f>'Meteorological data'!G37</f>
        <v>4.2237442922374432E-3</v>
      </c>
      <c r="R37" s="584">
        <v>37</v>
      </c>
      <c r="S37" s="585">
        <f t="shared" si="0"/>
        <v>12.333333333333332</v>
      </c>
      <c r="U37" s="585">
        <f t="shared" si="5"/>
        <v>0</v>
      </c>
      <c r="V37" s="585">
        <f t="shared" si="1"/>
        <v>0</v>
      </c>
      <c r="W37" s="574" t="s">
        <v>1</v>
      </c>
    </row>
    <row r="38" spans="1:24" ht="38.25">
      <c r="A38" s="571" t="s">
        <v>246</v>
      </c>
      <c r="B38" s="580" t="s">
        <v>404</v>
      </c>
      <c r="C38" s="571" t="str">
        <f>IF(OR($E$98="Air to Water",$E$98="Air to Air"),C3,
IF(LEFT($E$98,7)="Exhaust",$E$105,
IF(OR($E$98="Water to Water",$E$98="Water to Air"),10,
IF($E$98="Direct exchange (DX)",4,
MAX(0,MIN(0.15*C3+1.5,4.5))))))</f>
        <v xml:space="preserve"> </v>
      </c>
      <c r="D38" s="571">
        <f>IF(OR($E$98="Air to Water",$E$98="Air to Air"),D3,
IF(LEFT($E$98,7)="Exhaust",$E$105,
IF(OR($E$98="Water to Water",$E$98="Water to Air"),10,
IF($E$98="Direct exchange (DX)",4,
MAX(0,MIN(0.15*D3+1.5,4.5))))))</f>
        <v>-7</v>
      </c>
      <c r="E38" s="571">
        <f>IF(OR($E$98="Air to Water",$E$98="Air to Air"),E3,
IF(LEFT($E$98,7)="Exhaust",$E$105,
IF(OR($E$98="Water to Water",$E$98="Water to Air"),10,
IF($E$98="Direct exchange (DX)",4,
MAX(0,MIN(0.15*E3+1.5,4.5))))))</f>
        <v>2</v>
      </c>
      <c r="F38" s="571">
        <f>IF(OR($E$98="Air to Water",$E$98="Air to Air"),F3,
IF(LEFT($E$98,7)="Exhaust",$E$105,
IF(OR($E$98="Water to Water",$E$98="Water to Air"),10,
IF($E$98="Direct exchange (DX)",4,
MAX(0,MIN(0.15*F3+1.5,4.5))))))</f>
        <v>7</v>
      </c>
      <c r="G38" s="571">
        <f>IF(OR($E$98="Air to Water",$E$98="Air to Air"),G3,
IF(LEFT($E$98,7)="Exhaust",$E$105,
IF(OR($E$98="Water to Water",$E$98="Water to Air"),10,
IF($E$98="Direct exchange (DX)",4,
MAX(0,MIN(0.15*G3+1.5,4.5))))))</f>
        <v>12</v>
      </c>
      <c r="I38" s="572" t="s">
        <v>442</v>
      </c>
      <c r="J38" s="578"/>
      <c r="K38" s="572"/>
      <c r="M38" s="572"/>
      <c r="N38" s="572"/>
      <c r="O38" s="582">
        <f t="shared" si="3"/>
        <v>22</v>
      </c>
      <c r="Q38" s="583">
        <f>'Meteorological data'!G38</f>
        <v>3.0821917808219177E-3</v>
      </c>
      <c r="R38" s="584">
        <v>27</v>
      </c>
      <c r="S38" s="585">
        <f t="shared" si="0"/>
        <v>9</v>
      </c>
      <c r="U38" s="585">
        <f t="shared" si="5"/>
        <v>0</v>
      </c>
      <c r="V38" s="585">
        <f t="shared" si="1"/>
        <v>0</v>
      </c>
      <c r="W38" s="574" t="s">
        <v>1</v>
      </c>
    </row>
    <row r="39" spans="1:24" ht="119.25" customHeight="1">
      <c r="A39" s="571" t="s">
        <v>247</v>
      </c>
      <c r="B39" s="589" t="s">
        <v>405</v>
      </c>
      <c r="C39" s="574" t="e">
        <f>$E$105+
((($E$107-$E$110)/2)*
(($E$105-C3)/
($E$105-$E$104)))+
((AVERAGE($E$107,$E$110)-$E$105)*
(($E$105-C3)/($E$105-$E$104))^
(1/$E$108))</f>
        <v>#VALUE!</v>
      </c>
      <c r="D39" s="574" t="e">
        <f>$E$105+
((($E$107-$E$110)/2)*
(($E$105-D3)/
($E$105-$E$104)))+
((AVERAGE($E$107,$E$110)-$E$105)*
(($E$105-D3)/($E$105-$E$104))^
(1/$E$108))</f>
        <v>#VALUE!</v>
      </c>
      <c r="E39" s="574" t="e">
        <f>$E$105+
((($E$107-$E$110)/2)*
(($E$105-E3)/
($E$105-$E$104)))+
((AVERAGE($E$107,$E$110)-$E$105)*
(($E$105-E3)/($E$105-$E$104))^
(1/$E$108))</f>
        <v>#VALUE!</v>
      </c>
      <c r="F39" s="574" t="e">
        <f>$E$105+
((($E$107-$E$110)/2)*
(($E$105-F3)/
($E$105-$E$104)))+
((AVERAGE($E$107,$E$110)-$E$105)*
(($E$105-F3)/($E$105-$E$104))^
(1/$E$108))</f>
        <v>#VALUE!</v>
      </c>
      <c r="G39" s="574" t="e">
        <f>$E$105+
((($E$107-$E$110)/2)*
(($E$105-G3)/
($E$105-$E$104)))+
((AVERAGE($E$107,$E$110)-$E$105)*
(($E$105-G3)/($E$105-$E$104))^
(1/$E$108))</f>
        <v>#VALUE!</v>
      </c>
      <c r="H39" s="571" t="s">
        <v>1</v>
      </c>
      <c r="M39" s="572"/>
      <c r="O39" s="582">
        <f t="shared" si="3"/>
        <v>23</v>
      </c>
      <c r="Q39" s="583">
        <f>'Meteorological data'!G39</f>
        <v>2.2831050228310501E-3</v>
      </c>
      <c r="R39" s="584">
        <v>20</v>
      </c>
      <c r="S39" s="585">
        <f t="shared" si="0"/>
        <v>6.6666666666666661</v>
      </c>
      <c r="U39" s="585">
        <f t="shared" si="5"/>
        <v>0</v>
      </c>
      <c r="V39" s="585">
        <f t="shared" si="1"/>
        <v>0</v>
      </c>
      <c r="W39" s="574" t="s">
        <v>1</v>
      </c>
    </row>
    <row r="40" spans="1:24" ht="43.15" customHeight="1">
      <c r="A40" s="571" t="s">
        <v>248</v>
      </c>
      <c r="B40" s="589" t="s">
        <v>406</v>
      </c>
      <c r="C40" s="775" t="s">
        <v>443</v>
      </c>
      <c r="D40" s="776"/>
      <c r="E40" s="776"/>
      <c r="F40" s="776"/>
      <c r="G40" s="776"/>
      <c r="H40" s="776"/>
      <c r="J40" s="578"/>
      <c r="K40" s="578"/>
      <c r="M40" s="578"/>
      <c r="N40" s="572"/>
      <c r="O40" s="582">
        <f t="shared" si="3"/>
        <v>24</v>
      </c>
      <c r="Q40" s="583">
        <f>'Meteorological data'!G40</f>
        <v>1.4840182648401827E-3</v>
      </c>
      <c r="R40" s="584">
        <v>13</v>
      </c>
      <c r="S40" s="585">
        <f t="shared" si="0"/>
        <v>4.333333333333333</v>
      </c>
      <c r="U40" s="585">
        <f t="shared" si="5"/>
        <v>0</v>
      </c>
      <c r="V40" s="585">
        <f t="shared" si="1"/>
        <v>0</v>
      </c>
      <c r="W40" s="574" t="s">
        <v>1</v>
      </c>
    </row>
    <row r="41" spans="1:24" ht="25.5">
      <c r="A41" s="571" t="s">
        <v>249</v>
      </c>
      <c r="B41" s="589" t="s">
        <v>407</v>
      </c>
      <c r="C41" s="574">
        <f>IF($C$29="Error",C35,((C36-C35)/(C32-C31))*(C39-C31)+C35)</f>
        <v>0</v>
      </c>
      <c r="D41" s="574">
        <f>IF($C$29="Error",D35,((D36-D35)/(D32-D31))*(D39-D31)+D35)</f>
        <v>0</v>
      </c>
      <c r="E41" s="574">
        <f>IF($C$29="Error",E35,((E36-E35)/(E32-E31))*(E39-E31)+E35)</f>
        <v>0</v>
      </c>
      <c r="F41" s="574">
        <f>IF($C$29="Error",F35,((F36-F35)/(F32-F31))*(F39-F31)+F35)</f>
        <v>0</v>
      </c>
      <c r="G41" s="574">
        <f>IF($C$29="Error",G35,((G36-G35)/(G32-G31))*(G39-G31)+G35)</f>
        <v>0</v>
      </c>
      <c r="I41" s="577" t="s">
        <v>250</v>
      </c>
      <c r="J41" s="578"/>
      <c r="N41" s="623"/>
      <c r="O41" s="582">
        <f t="shared" si="3"/>
        <v>25</v>
      </c>
      <c r="Q41" s="583">
        <f>'Meteorological data'!G41</f>
        <v>0</v>
      </c>
      <c r="R41" s="584">
        <v>0</v>
      </c>
      <c r="S41" s="585">
        <f t="shared" si="0"/>
        <v>0</v>
      </c>
      <c r="U41" s="585">
        <f t="shared" si="5"/>
        <v>0</v>
      </c>
      <c r="V41" s="585">
        <f t="shared" si="1"/>
        <v>0</v>
      </c>
      <c r="W41" s="574" t="s">
        <v>1</v>
      </c>
    </row>
    <row r="42" spans="1:24" ht="13.5" thickBot="1">
      <c r="C42" s="585"/>
      <c r="D42" s="585"/>
      <c r="E42" s="585"/>
      <c r="F42" s="585"/>
      <c r="G42" s="585"/>
      <c r="J42" s="578"/>
      <c r="O42" s="582">
        <f t="shared" si="3"/>
        <v>26</v>
      </c>
      <c r="Q42" s="583">
        <f>'Meteorological data'!G42</f>
        <v>0</v>
      </c>
      <c r="R42" s="584">
        <v>0</v>
      </c>
      <c r="S42" s="585">
        <f t="shared" si="0"/>
        <v>0</v>
      </c>
      <c r="U42" s="585">
        <f t="shared" si="5"/>
        <v>0</v>
      </c>
      <c r="V42" s="585">
        <f t="shared" si="1"/>
        <v>0</v>
      </c>
      <c r="W42" s="574" t="s">
        <v>1</v>
      </c>
    </row>
    <row r="43" spans="1:24" ht="38.25">
      <c r="A43" s="571" t="s">
        <v>251</v>
      </c>
      <c r="B43" s="571" t="s">
        <v>252</v>
      </c>
      <c r="C43" s="571">
        <f>IF(C28="Low",F35,F35)</f>
        <v>0</v>
      </c>
      <c r="D43" s="571" t="s">
        <v>174</v>
      </c>
      <c r="I43" s="624" t="s">
        <v>446</v>
      </c>
      <c r="J43" s="625" t="s">
        <v>444</v>
      </c>
      <c r="K43" s="620" t="s">
        <v>445</v>
      </c>
      <c r="N43" s="623"/>
      <c r="O43" s="582">
        <f t="shared" si="3"/>
        <v>27</v>
      </c>
      <c r="Q43" s="583">
        <f>'Meteorological data'!G43</f>
        <v>0</v>
      </c>
      <c r="R43" s="584">
        <v>0</v>
      </c>
      <c r="S43" s="585">
        <f t="shared" si="0"/>
        <v>0</v>
      </c>
      <c r="U43" s="585">
        <f t="shared" si="5"/>
        <v>0</v>
      </c>
      <c r="V43" s="585">
        <f t="shared" si="1"/>
        <v>0</v>
      </c>
      <c r="W43" s="574" t="s">
        <v>1</v>
      </c>
    </row>
    <row r="44" spans="1:24" ht="39" thickBot="1">
      <c r="A44" s="571" t="s">
        <v>253</v>
      </c>
      <c r="B44" s="626" t="s">
        <v>408</v>
      </c>
      <c r="C44" s="574">
        <f>C43/(4.182*J44)</f>
        <v>0</v>
      </c>
      <c r="D44" s="574" t="s">
        <v>1</v>
      </c>
      <c r="F44" s="574" t="s">
        <v>1</v>
      </c>
      <c r="G44" s="574" t="s">
        <v>1</v>
      </c>
      <c r="I44" s="577" t="s">
        <v>488</v>
      </c>
      <c r="J44" s="627">
        <f>IF(E133="Electricity",5,7+10*(K44-35)/30)</f>
        <v>5</v>
      </c>
      <c r="K44" s="621">
        <f>E131</f>
        <v>55</v>
      </c>
      <c r="O44" s="582">
        <f t="shared" si="3"/>
        <v>28</v>
      </c>
      <c r="Q44" s="583">
        <f>'Meteorological data'!G44</f>
        <v>0</v>
      </c>
      <c r="R44" s="584">
        <v>0</v>
      </c>
      <c r="S44" s="585">
        <f t="shared" si="0"/>
        <v>0</v>
      </c>
      <c r="U44" s="585">
        <f t="shared" si="5"/>
        <v>0</v>
      </c>
      <c r="V44" s="585">
        <f t="shared" si="1"/>
        <v>0</v>
      </c>
      <c r="W44" s="574" t="s">
        <v>1</v>
      </c>
    </row>
    <row r="45" spans="1:24" ht="14.25">
      <c r="A45" s="571" t="s">
        <v>254</v>
      </c>
      <c r="B45" s="589" t="s">
        <v>409</v>
      </c>
      <c r="C45" s="574" t="e">
        <f>C35/($C$44*4.182)</f>
        <v>#DIV/0!</v>
      </c>
      <c r="D45" s="574" t="e">
        <f t="shared" ref="C45:G46" si="29">D35/($C$44*4.182)</f>
        <v>#DIV/0!</v>
      </c>
      <c r="E45" s="574" t="e">
        <f t="shared" si="29"/>
        <v>#DIV/0!</v>
      </c>
      <c r="F45" s="574" t="e">
        <f t="shared" si="29"/>
        <v>#DIV/0!</v>
      </c>
      <c r="G45" s="574" t="e">
        <f t="shared" si="29"/>
        <v>#DIV/0!</v>
      </c>
      <c r="J45" s="578"/>
      <c r="O45" s="582">
        <f t="shared" si="3"/>
        <v>29</v>
      </c>
      <c r="Q45" s="583">
        <f>'Meteorological data'!G45</f>
        <v>0</v>
      </c>
      <c r="R45" s="584">
        <v>0</v>
      </c>
      <c r="S45" s="585">
        <f t="shared" si="0"/>
        <v>0</v>
      </c>
      <c r="U45" s="585">
        <f t="shared" si="5"/>
        <v>0</v>
      </c>
      <c r="V45" s="585">
        <f t="shared" si="1"/>
        <v>0</v>
      </c>
      <c r="W45" s="574" t="s">
        <v>1</v>
      </c>
    </row>
    <row r="46" spans="1:24" ht="14.25">
      <c r="A46" s="571" t="s">
        <v>255</v>
      </c>
      <c r="B46" s="589" t="s">
        <v>409</v>
      </c>
      <c r="C46" s="574" t="e">
        <f t="shared" si="29"/>
        <v>#DIV/0!</v>
      </c>
      <c r="D46" s="574" t="e">
        <f t="shared" si="29"/>
        <v>#DIV/0!</v>
      </c>
      <c r="E46" s="574" t="e">
        <f t="shared" si="29"/>
        <v>#DIV/0!</v>
      </c>
      <c r="F46" s="574" t="e">
        <f t="shared" si="29"/>
        <v>#DIV/0!</v>
      </c>
      <c r="G46" s="574" t="e">
        <f t="shared" si="29"/>
        <v>#DIV/0!</v>
      </c>
      <c r="J46" s="578"/>
      <c r="O46" s="582">
        <f t="shared" si="3"/>
        <v>30</v>
      </c>
      <c r="Q46" s="583">
        <f>'Meteorological data'!G46</f>
        <v>0</v>
      </c>
      <c r="R46" s="584">
        <v>0</v>
      </c>
      <c r="S46" s="585">
        <f t="shared" si="0"/>
        <v>0</v>
      </c>
      <c r="U46" s="585">
        <f t="shared" si="5"/>
        <v>0</v>
      </c>
      <c r="V46" s="585">
        <f t="shared" si="1"/>
        <v>0</v>
      </c>
      <c r="W46" s="574" t="s">
        <v>1</v>
      </c>
    </row>
    <row r="47" spans="1:24">
      <c r="A47" s="571" t="s">
        <v>256</v>
      </c>
      <c r="B47" s="571" t="s">
        <v>257</v>
      </c>
      <c r="C47" s="574" t="e">
        <f>E93/1000</f>
        <v>#VALUE!</v>
      </c>
      <c r="D47" s="574" t="s">
        <v>174</v>
      </c>
      <c r="E47" s="574"/>
      <c r="F47" s="574"/>
      <c r="G47" s="574"/>
      <c r="I47" s="572" t="s">
        <v>258</v>
      </c>
      <c r="J47" s="98" t="e">
        <f>C43/C47</f>
        <v>#VALUE!</v>
      </c>
      <c r="K47" s="578"/>
      <c r="M47" s="578"/>
      <c r="N47" s="572"/>
      <c r="O47" s="582">
        <f t="shared" si="3"/>
        <v>31</v>
      </c>
      <c r="Q47" s="583">
        <f>'Meteorological data'!G47</f>
        <v>0</v>
      </c>
      <c r="R47" s="584">
        <v>0</v>
      </c>
      <c r="S47" s="585">
        <f t="shared" si="0"/>
        <v>0</v>
      </c>
      <c r="U47" s="585">
        <f t="shared" si="5"/>
        <v>0</v>
      </c>
      <c r="V47" s="585">
        <f t="shared" si="1"/>
        <v>0</v>
      </c>
      <c r="W47" s="574" t="s">
        <v>1</v>
      </c>
    </row>
    <row r="48" spans="1:24">
      <c r="A48" s="571" t="s">
        <v>259</v>
      </c>
      <c r="B48" s="571" t="s">
        <v>260</v>
      </c>
      <c r="C48" s="574">
        <f>$E$107-$E$110</f>
        <v>10</v>
      </c>
      <c r="D48" s="574"/>
      <c r="E48" s="574"/>
      <c r="F48" s="574"/>
      <c r="G48" s="574"/>
      <c r="J48" s="578"/>
      <c r="O48" s="582">
        <f t="shared" si="3"/>
        <v>32</v>
      </c>
      <c r="Q48" s="583">
        <f>'Meteorological data'!G48</f>
        <v>0</v>
      </c>
      <c r="R48" s="584">
        <v>0</v>
      </c>
      <c r="S48" s="585">
        <f t="shared" si="0"/>
        <v>0</v>
      </c>
      <c r="U48" s="585">
        <f t="shared" si="5"/>
        <v>0</v>
      </c>
      <c r="V48" s="585">
        <f t="shared" si="1"/>
        <v>0</v>
      </c>
      <c r="W48" s="574" t="s">
        <v>1</v>
      </c>
    </row>
    <row r="49" spans="1:23">
      <c r="A49" s="571" t="s">
        <v>261</v>
      </c>
      <c r="B49" s="626" t="s">
        <v>408</v>
      </c>
      <c r="C49" s="574" t="e">
        <f>C47/(C48*4.182)</f>
        <v>#VALUE!</v>
      </c>
      <c r="J49" s="578"/>
      <c r="K49" s="572"/>
      <c r="M49" s="572"/>
      <c r="O49" s="582">
        <f t="shared" si="3"/>
        <v>33</v>
      </c>
      <c r="Q49" s="583">
        <f>'Meteorological data'!G49</f>
        <v>0</v>
      </c>
      <c r="R49" s="584">
        <v>0</v>
      </c>
      <c r="S49" s="585">
        <f t="shared" si="0"/>
        <v>0</v>
      </c>
      <c r="U49" s="585">
        <f t="shared" si="5"/>
        <v>0</v>
      </c>
      <c r="V49" s="585">
        <f t="shared" si="1"/>
        <v>0</v>
      </c>
      <c r="W49" s="574" t="s">
        <v>1</v>
      </c>
    </row>
    <row r="50" spans="1:23" ht="25.5">
      <c r="A50" s="578" t="s">
        <v>262</v>
      </c>
      <c r="B50" s="589" t="s">
        <v>409</v>
      </c>
      <c r="C50" s="574" t="e">
        <f>C35/($C$49*4.182)</f>
        <v>#VALUE!</v>
      </c>
      <c r="D50" s="574" t="e">
        <f t="shared" ref="D50:G51" si="30">D35/($C$49*4.182)</f>
        <v>#VALUE!</v>
      </c>
      <c r="E50" s="574" t="e">
        <f t="shared" si="30"/>
        <v>#VALUE!</v>
      </c>
      <c r="F50" s="574" t="e">
        <f t="shared" si="30"/>
        <v>#VALUE!</v>
      </c>
      <c r="G50" s="574" t="e">
        <f t="shared" si="30"/>
        <v>#VALUE!</v>
      </c>
      <c r="J50" s="578"/>
      <c r="O50" s="582">
        <f t="shared" si="3"/>
        <v>34</v>
      </c>
      <c r="Q50" s="583">
        <f>'Meteorological data'!G50</f>
        <v>0</v>
      </c>
      <c r="R50" s="584">
        <v>0</v>
      </c>
      <c r="S50" s="585">
        <f t="shared" si="0"/>
        <v>0</v>
      </c>
      <c r="U50" s="585">
        <f t="shared" si="5"/>
        <v>0</v>
      </c>
      <c r="V50" s="585">
        <f t="shared" si="1"/>
        <v>0</v>
      </c>
      <c r="W50" s="574" t="s">
        <v>1</v>
      </c>
    </row>
    <row r="51" spans="1:23" ht="25.5">
      <c r="A51" s="578" t="s">
        <v>263</v>
      </c>
      <c r="B51" s="589" t="s">
        <v>409</v>
      </c>
      <c r="C51" s="574" t="e">
        <f>C36/($C$49*4.182)</f>
        <v>#VALUE!</v>
      </c>
      <c r="D51" s="574" t="e">
        <f t="shared" si="30"/>
        <v>#VALUE!</v>
      </c>
      <c r="E51" s="574" t="e">
        <f t="shared" si="30"/>
        <v>#VALUE!</v>
      </c>
      <c r="F51" s="574" t="e">
        <f t="shared" si="30"/>
        <v>#VALUE!</v>
      </c>
      <c r="G51" s="574" t="e">
        <f t="shared" si="30"/>
        <v>#VALUE!</v>
      </c>
      <c r="J51" s="578"/>
      <c r="O51" s="582">
        <f t="shared" si="3"/>
        <v>35</v>
      </c>
      <c r="Q51" s="583">
        <f>'Meteorological data'!G51</f>
        <v>0</v>
      </c>
      <c r="R51" s="584">
        <v>0</v>
      </c>
      <c r="S51" s="585">
        <f t="shared" si="0"/>
        <v>0</v>
      </c>
      <c r="U51" s="585">
        <f t="shared" si="5"/>
        <v>0</v>
      </c>
      <c r="V51" s="585">
        <f t="shared" si="1"/>
        <v>0</v>
      </c>
      <c r="W51" s="574" t="s">
        <v>1</v>
      </c>
    </row>
    <row r="52" spans="1:23" ht="38.25">
      <c r="A52" s="571" t="s">
        <v>264</v>
      </c>
      <c r="B52" s="626" t="s">
        <v>410</v>
      </c>
      <c r="C52" s="574" t="e">
        <f>1-((C45-C50)/2)/((273.15+C31)-C45/2+5-(273.15+C38-5))</f>
        <v>#DIV/0!</v>
      </c>
      <c r="D52" s="574" t="e">
        <f>1-((D45-D50)/2)/((273.15+D31)-D45/2+5-(273.15+D38-5))</f>
        <v>#DIV/0!</v>
      </c>
      <c r="E52" s="574" t="e">
        <f>1-((E45-E50)/2)/((273.15+E31)-E45/2+5-(273.15+E38-5))</f>
        <v>#DIV/0!</v>
      </c>
      <c r="F52" s="574" t="e">
        <f>1-((F45-F50)/2)/((273.15+F31)-F45/2+5-(273.15+F38-5))</f>
        <v>#DIV/0!</v>
      </c>
      <c r="G52" s="574" t="e">
        <f>1-((G45-G50)/2)/((273.15+G31)-G45/2+5-(273.15+G38-5))</f>
        <v>#DIV/0!</v>
      </c>
      <c r="I52" s="580" t="s">
        <v>447</v>
      </c>
      <c r="J52" s="578"/>
      <c r="Q52" s="583"/>
      <c r="R52" s="583"/>
      <c r="S52" s="583"/>
      <c r="U52" s="585"/>
      <c r="V52" s="585"/>
      <c r="W52" s="574"/>
    </row>
    <row r="53" spans="1:23" ht="38.25">
      <c r="A53" s="571" t="s">
        <v>265</v>
      </c>
      <c r="B53" s="626" t="s">
        <v>410</v>
      </c>
      <c r="C53" s="574" t="e">
        <f>1-((C46-C51)/2)/((273.15+C32)-C46/2+5-(273.15+C38-5))</f>
        <v>#DIV/0!</v>
      </c>
      <c r="D53" s="574" t="e">
        <f>1-((D46-D51)/2)/((273.15+D32)-D46/2+5-(273.15+D38-5))</f>
        <v>#DIV/0!</v>
      </c>
      <c r="E53" s="574" t="e">
        <f>1-((E46-E51)/2)/((273.15+E32)-E46/2+5-(273.15+E38-5))</f>
        <v>#DIV/0!</v>
      </c>
      <c r="F53" s="574" t="e">
        <f>1-((F46-F51)/2)/((273.15+F32)-F46/2+5-(273.15+F38-5))</f>
        <v>#DIV/0!</v>
      </c>
      <c r="G53" s="574" t="e">
        <f>1-((G46-G51)/2)/((273.15+G32)-G46/2+5-(273.15+G38-5))</f>
        <v>#DIV/0!</v>
      </c>
      <c r="I53" s="580" t="s">
        <v>448</v>
      </c>
      <c r="J53" s="578"/>
    </row>
    <row r="54" spans="1:23">
      <c r="A54" s="571" t="s">
        <v>266</v>
      </c>
      <c r="B54" s="626" t="s">
        <v>410</v>
      </c>
      <c r="C54" s="585" t="e">
        <f>C33*C52</f>
        <v>#DIV/0!</v>
      </c>
      <c r="D54" s="585" t="e">
        <f>D33*D52</f>
        <v>#DIV/0!</v>
      </c>
      <c r="E54" s="585" t="e">
        <f t="shared" ref="D54:G55" si="31">E33*E52</f>
        <v>#DIV/0!</v>
      </c>
      <c r="F54" s="585" t="e">
        <f t="shared" si="31"/>
        <v>#DIV/0!</v>
      </c>
      <c r="G54" s="585" t="e">
        <f t="shared" si="31"/>
        <v>#DIV/0!</v>
      </c>
      <c r="J54" s="578"/>
    </row>
    <row r="55" spans="1:23">
      <c r="A55" s="571" t="s">
        <v>267</v>
      </c>
      <c r="B55" s="626" t="s">
        <v>410</v>
      </c>
      <c r="C55" s="574" t="e">
        <f>C34*C53</f>
        <v>#DIV/0!</v>
      </c>
      <c r="D55" s="574" t="e">
        <f t="shared" si="31"/>
        <v>#DIV/0!</v>
      </c>
      <c r="E55" s="574" t="e">
        <f t="shared" si="31"/>
        <v>#DIV/0!</v>
      </c>
      <c r="F55" s="574" t="e">
        <f t="shared" si="31"/>
        <v>#DIV/0!</v>
      </c>
      <c r="G55" s="574" t="e">
        <f>G34*G53</f>
        <v>#DIV/0!</v>
      </c>
      <c r="J55" s="578"/>
    </row>
    <row r="56" spans="1:23" ht="78">
      <c r="A56" s="571" t="s">
        <v>268</v>
      </c>
      <c r="B56" s="580" t="s">
        <v>411</v>
      </c>
      <c r="C56" s="574" t="e">
        <f>MAX(0.5,IF($C$29="Error",IF($E$99="Fixed Outlet",C54,C54*(((273.15+C37)*(C31-C6))/((273.15+C31)*(C37-C38)))),((C55-C54)/(C32-C31))*(C39-C31)+C54))</f>
        <v>#DIV/0!</v>
      </c>
      <c r="D56" s="574" t="e">
        <f t="shared" ref="D56:G56" si="32">MAX(0.5,IF($C$29="Error",IF($E$99="Fixed Outlet",D54,D54*(((273.15+D37)*(D31-D6))/((273.15+D31)*(D37-D38)))),((D55-D54)/(D32-D31))*(D39-D31)+D54))</f>
        <v>#DIV/0!</v>
      </c>
      <c r="E56" s="574" t="e">
        <f t="shared" si="32"/>
        <v>#DIV/0!</v>
      </c>
      <c r="F56" s="574" t="e">
        <f t="shared" si="32"/>
        <v>#DIV/0!</v>
      </c>
      <c r="G56" s="574" t="e">
        <f t="shared" si="32"/>
        <v>#DIV/0!</v>
      </c>
      <c r="H56" s="574" t="s">
        <v>1</v>
      </c>
      <c r="I56" s="580" t="s">
        <v>421</v>
      </c>
      <c r="J56" s="578" t="s">
        <v>1</v>
      </c>
    </row>
    <row r="57" spans="1:23" ht="36" customHeight="1">
      <c r="A57" s="572" t="s">
        <v>1</v>
      </c>
      <c r="B57" s="572" t="s">
        <v>1</v>
      </c>
      <c r="C57" s="572" t="s">
        <v>1</v>
      </c>
      <c r="D57" s="572" t="s">
        <v>1</v>
      </c>
      <c r="E57" s="572" t="s">
        <v>1</v>
      </c>
      <c r="F57" s="572" t="s">
        <v>1</v>
      </c>
      <c r="G57" s="572" t="s">
        <v>1</v>
      </c>
      <c r="H57" s="572" t="s">
        <v>1</v>
      </c>
      <c r="J57" s="578"/>
    </row>
    <row r="58" spans="1:23">
      <c r="A58" s="571" t="s">
        <v>269</v>
      </c>
      <c r="C58" s="571" t="s">
        <v>270</v>
      </c>
      <c r="J58" s="578"/>
    </row>
    <row r="59" spans="1:23">
      <c r="J59" s="578"/>
    </row>
    <row r="60" spans="1:23">
      <c r="A60" s="571" t="s">
        <v>271</v>
      </c>
      <c r="B60" s="571" t="s">
        <v>43</v>
      </c>
      <c r="C60" s="574">
        <f>C8</f>
        <v>0</v>
      </c>
      <c r="D60" s="574">
        <f>D8</f>
        <v>0</v>
      </c>
      <c r="E60" s="574">
        <f>E8</f>
        <v>0</v>
      </c>
      <c r="F60" s="574">
        <f>F8</f>
        <v>0</v>
      </c>
      <c r="G60" s="574">
        <f>G8</f>
        <v>0</v>
      </c>
      <c r="H60" s="574">
        <f>SUM(C60:G60)</f>
        <v>0</v>
      </c>
      <c r="J60" s="578"/>
    </row>
    <row r="61" spans="1:23" ht="25.5">
      <c r="A61" s="578" t="s">
        <v>272</v>
      </c>
      <c r="B61" s="571" t="s">
        <v>43</v>
      </c>
      <c r="C61" s="585" t="e">
        <f>SUM(AC4:AC7)</f>
        <v>#VALUE!</v>
      </c>
      <c r="D61" s="585" t="e">
        <f>SUM(AC8:AC13)</f>
        <v>#VALUE!</v>
      </c>
      <c r="E61" s="585" t="e">
        <f>SUM(AC14:AC20)</f>
        <v>#VALUE!</v>
      </c>
      <c r="F61" s="585" t="e">
        <f>SUM(AC21:AC25)</f>
        <v>#VALUE!</v>
      </c>
      <c r="G61" s="585" t="e">
        <f>SUM(AC26:AC31)</f>
        <v>#VALUE!</v>
      </c>
      <c r="H61" s="585" t="e">
        <f>SUM(C61:G61)</f>
        <v>#VALUE!</v>
      </c>
      <c r="I61" s="588"/>
      <c r="J61" s="578"/>
      <c r="N61" s="572"/>
    </row>
    <row r="62" spans="1:23" ht="36.6" customHeight="1">
      <c r="A62" s="578" t="s">
        <v>273</v>
      </c>
      <c r="B62" s="571" t="s">
        <v>43</v>
      </c>
      <c r="C62" s="571" t="e">
        <f t="shared" ref="C62:H62" si="33">C61/$E$118</f>
        <v>#VALUE!</v>
      </c>
      <c r="D62" s="571" t="e">
        <f t="shared" si="33"/>
        <v>#VALUE!</v>
      </c>
      <c r="E62" s="571" t="e">
        <f t="shared" si="33"/>
        <v>#VALUE!</v>
      </c>
      <c r="F62" s="571" t="e">
        <f t="shared" si="33"/>
        <v>#VALUE!</v>
      </c>
      <c r="G62" s="571" t="e">
        <f t="shared" si="33"/>
        <v>#VALUE!</v>
      </c>
      <c r="H62" s="571" t="e">
        <f t="shared" si="33"/>
        <v>#VALUE!</v>
      </c>
      <c r="I62" s="577" t="s">
        <v>449</v>
      </c>
      <c r="J62" s="578"/>
    </row>
    <row r="63" spans="1:23">
      <c r="A63" s="571" t="s">
        <v>274</v>
      </c>
      <c r="J63" s="578"/>
    </row>
    <row r="64" spans="1:23">
      <c r="A64" s="571" t="s">
        <v>275</v>
      </c>
      <c r="J64" s="578"/>
    </row>
    <row r="65" spans="1:29">
      <c r="A65" s="571" t="s">
        <v>276</v>
      </c>
      <c r="J65" s="578"/>
    </row>
    <row r="66" spans="1:29">
      <c r="J66" s="578"/>
    </row>
    <row r="67" spans="1:29" ht="25.5">
      <c r="A67" s="577" t="s">
        <v>451</v>
      </c>
      <c r="B67" s="571" t="s">
        <v>43</v>
      </c>
      <c r="C67" s="585" t="e">
        <f>(C60-C61)/C56</f>
        <v>#VALUE!</v>
      </c>
      <c r="D67" s="585" t="e">
        <f>(D60-D61)/D56</f>
        <v>#VALUE!</v>
      </c>
      <c r="E67" s="585" t="e">
        <f>(E60-E61)/E56</f>
        <v>#VALUE!</v>
      </c>
      <c r="F67" s="585" t="e">
        <f>(F60-F61)/F56</f>
        <v>#VALUE!</v>
      </c>
      <c r="G67" s="585" t="e">
        <f>(G60-G61)/G56</f>
        <v>#VALUE!</v>
      </c>
      <c r="H67" s="585" t="e">
        <f>SUM(C67:G67)</f>
        <v>#VALUE!</v>
      </c>
      <c r="J67" s="578"/>
    </row>
    <row r="68" spans="1:29">
      <c r="A68" s="578"/>
      <c r="J68" s="578"/>
    </row>
    <row r="69" spans="1:29" ht="25.5">
      <c r="A69" s="577" t="s">
        <v>450</v>
      </c>
      <c r="B69" s="571" t="s">
        <v>43</v>
      </c>
      <c r="C69" s="585" t="e">
        <f>C62+C67</f>
        <v>#VALUE!</v>
      </c>
      <c r="D69" s="585" t="e">
        <f>D62+D67</f>
        <v>#VALUE!</v>
      </c>
      <c r="E69" s="585" t="e">
        <f>E62+E67</f>
        <v>#VALUE!</v>
      </c>
      <c r="F69" s="585" t="e">
        <f>F62+F67</f>
        <v>#VALUE!</v>
      </c>
      <c r="G69" s="585" t="e">
        <f>G62+G67</f>
        <v>#VALUE!</v>
      </c>
      <c r="H69" s="585" t="e">
        <f>SUM(C69:G69)</f>
        <v>#VALUE!</v>
      </c>
      <c r="J69" s="578"/>
    </row>
    <row r="70" spans="1:29">
      <c r="J70" s="578"/>
    </row>
    <row r="71" spans="1:29">
      <c r="A71" s="571" t="s">
        <v>277</v>
      </c>
      <c r="H71" s="628" t="e">
        <f>H60/H69</f>
        <v>#VALUE!</v>
      </c>
      <c r="J71" s="578"/>
    </row>
    <row r="72" spans="1:29">
      <c r="J72" s="578"/>
    </row>
    <row r="73" spans="1:29" s="629" customFormat="1">
      <c r="A73" s="629" t="s">
        <v>278</v>
      </c>
      <c r="H73" s="629" t="e">
        <f>IF(H71&gt;2.5,(H71-2.5)*H69,0)</f>
        <v>#VALUE!</v>
      </c>
      <c r="I73" s="629" t="s">
        <v>43</v>
      </c>
      <c r="J73" s="630"/>
      <c r="L73" s="630"/>
      <c r="AC73" s="630"/>
    </row>
    <row r="74" spans="1:29">
      <c r="J74" s="578"/>
    </row>
    <row r="75" spans="1:29">
      <c r="A75" s="571" t="s">
        <v>279</v>
      </c>
      <c r="B75" s="571" t="s">
        <v>43</v>
      </c>
      <c r="C75" s="574" t="e">
        <f>C60-C61</f>
        <v>#VALUE!</v>
      </c>
      <c r="D75" s="574" t="e">
        <f>D60-D61</f>
        <v>#VALUE!</v>
      </c>
      <c r="E75" s="574" t="e">
        <f>E60-E61</f>
        <v>#VALUE!</v>
      </c>
      <c r="F75" s="574" t="e">
        <f>F60-F61</f>
        <v>#VALUE!</v>
      </c>
      <c r="G75" s="574" t="e">
        <f>G60-G61</f>
        <v>#VALUE!</v>
      </c>
      <c r="H75" s="574" t="e">
        <f>SUM(C75:G75)</f>
        <v>#VALUE!</v>
      </c>
      <c r="J75" s="578"/>
      <c r="N75" s="578"/>
    </row>
    <row r="76" spans="1:29">
      <c r="J76" s="578"/>
    </row>
    <row r="77" spans="1:29">
      <c r="A77" s="571" t="s">
        <v>280</v>
      </c>
      <c r="H77" s="631" t="e">
        <f>H75/H67</f>
        <v>#VALUE!</v>
      </c>
      <c r="J77" s="578"/>
    </row>
    <row r="78" spans="1:29">
      <c r="J78" s="578"/>
    </row>
    <row r="79" spans="1:29">
      <c r="A79" s="571" t="s">
        <v>281</v>
      </c>
      <c r="C79" s="632" t="e">
        <f>(C60-C61)-C67</f>
        <v>#VALUE!</v>
      </c>
      <c r="D79" s="632" t="e">
        <f t="shared" ref="D79:H79" si="34">(D60-D61)-D67</f>
        <v>#VALUE!</v>
      </c>
      <c r="E79" s="632" t="e">
        <f t="shared" si="34"/>
        <v>#VALUE!</v>
      </c>
      <c r="F79" s="632" t="e">
        <f t="shared" si="34"/>
        <v>#VALUE!</v>
      </c>
      <c r="G79" s="632" t="e">
        <f>(G60-G61)-G67</f>
        <v>#VALUE!</v>
      </c>
      <c r="H79" s="632" t="e">
        <f t="shared" si="34"/>
        <v>#VALUE!</v>
      </c>
      <c r="I79" s="571" t="s">
        <v>43</v>
      </c>
      <c r="J79" s="578"/>
      <c r="N79" s="572"/>
    </row>
    <row r="80" spans="1:29">
      <c r="A80" s="5" t="s">
        <v>282</v>
      </c>
      <c r="B80" s="5"/>
      <c r="C80" s="633" t="e">
        <f>(C41*(1-1/C56)-($E$136*1.2/3600)*(20-(C3)))/(C41*(1-1/C56))</f>
        <v>#DIV/0!</v>
      </c>
      <c r="D80" s="633" t="e">
        <f>(D41*(1-1/D56)-($E$136*1.2/3600)*(20-(D3)))/(D41*(1-1/D56))</f>
        <v>#DIV/0!</v>
      </c>
      <c r="E80" s="633" t="e">
        <f>(E41*(1-1/E56)-($E$136*1.2/3600)*(20-(E3)))/(E41*(1-1/E56))</f>
        <v>#DIV/0!</v>
      </c>
      <c r="F80" s="633" t="e">
        <f>(F41*(1-1/F56)-($E$136*1.2/3600)*(20-(F3)))/(F41*(1-1/F56))</f>
        <v>#DIV/0!</v>
      </c>
      <c r="G80" s="633" t="e">
        <f>(G41*(1-1/G56)-($E$136*1.2/3600)*(20-(G3)))/(G41*(1-1/G56))</f>
        <v>#DIV/0!</v>
      </c>
      <c r="J80" s="578"/>
    </row>
    <row r="81" spans="1:14">
      <c r="J81" s="578"/>
    </row>
    <row r="82" spans="1:14">
      <c r="A82" s="572" t="s">
        <v>283</v>
      </c>
      <c r="C82" s="5" t="e">
        <f>C79*C80</f>
        <v>#VALUE!</v>
      </c>
      <c r="D82" s="5" t="e">
        <f t="shared" ref="D82:G82" si="35">D79*D80</f>
        <v>#VALUE!</v>
      </c>
      <c r="E82" s="5" t="e">
        <f t="shared" si="35"/>
        <v>#VALUE!</v>
      </c>
      <c r="F82" s="5" t="e">
        <f t="shared" si="35"/>
        <v>#VALUE!</v>
      </c>
      <c r="G82" s="5" t="e">
        <f t="shared" si="35"/>
        <v>#VALUE!</v>
      </c>
      <c r="H82" s="634" t="e">
        <f>SUM(C82:G82)</f>
        <v>#VALUE!</v>
      </c>
      <c r="I82" s="571" t="s">
        <v>284</v>
      </c>
      <c r="J82" s="578"/>
      <c r="N82" s="572"/>
    </row>
    <row r="83" spans="1:14">
      <c r="J83" s="578"/>
    </row>
    <row r="84" spans="1:14">
      <c r="J84" s="578"/>
    </row>
    <row r="85" spans="1:14">
      <c r="H85" s="635">
        <f>IF(LEFT(E98,7)="Exhaust",H82/H79,1)</f>
        <v>1</v>
      </c>
      <c r="I85" s="571" t="s">
        <v>333</v>
      </c>
      <c r="J85" s="578"/>
    </row>
    <row r="86" spans="1:14">
      <c r="H86" s="574"/>
      <c r="J86" s="578"/>
    </row>
    <row r="87" spans="1:14">
      <c r="J87" s="578"/>
    </row>
    <row r="88" spans="1:14">
      <c r="J88" s="578"/>
    </row>
    <row r="89" spans="1:14" ht="25.5">
      <c r="A89" s="636" t="s">
        <v>568</v>
      </c>
      <c r="B89" s="637" t="s">
        <v>553</v>
      </c>
      <c r="C89" s="637" t="s">
        <v>554</v>
      </c>
      <c r="D89" s="637" t="s">
        <v>555</v>
      </c>
      <c r="E89" s="638"/>
      <c r="F89" s="638"/>
      <c r="G89" s="638"/>
      <c r="H89" s="638"/>
      <c r="I89" s="639"/>
      <c r="J89" s="578"/>
    </row>
    <row r="90" spans="1:14" ht="60" customHeight="1">
      <c r="A90" s="640" t="s">
        <v>551</v>
      </c>
      <c r="B90" s="640" t="str">
        <f>RIGHT(B89)</f>
        <v>1</v>
      </c>
      <c r="C90" s="640" t="str">
        <f>RIGHT(C89)</f>
        <v>2</v>
      </c>
      <c r="D90" s="640" t="str">
        <f>RIGHT(D89)</f>
        <v>3</v>
      </c>
      <c r="E90" s="640" t="s">
        <v>552</v>
      </c>
      <c r="F90" s="641" t="s">
        <v>547</v>
      </c>
      <c r="G90" s="641" t="s">
        <v>550</v>
      </c>
      <c r="H90" s="641" t="s">
        <v>556</v>
      </c>
      <c r="I90" s="578"/>
      <c r="J90" s="578"/>
    </row>
    <row r="91" spans="1:14" ht="15.75">
      <c r="A91" s="316" t="str">
        <f>HP_1!O12</f>
        <v>Same HP for Space and Water Heating</v>
      </c>
      <c r="B91" s="642" t="b">
        <f>HP_1!N12</f>
        <v>1</v>
      </c>
      <c r="C91" s="643" t="b" cm="1">
        <f t="array" aca="1" ref="C91" ca="1">INDIRECT($F91&amp;C$90&amp;"!"&amp;$G91)</f>
        <v>0</v>
      </c>
      <c r="D91" s="643" t="b" cm="1">
        <f t="array" aca="1" ref="D91" ca="1">INDIRECT($F91&amp;D$90&amp;"!"&amp;$G91)</f>
        <v>0</v>
      </c>
      <c r="E91" s="327" t="b">
        <f>VLOOKUP(A91,A91:D91,$K$1+1,FALSE)</f>
        <v>1</v>
      </c>
      <c r="F91" s="644" t="str">
        <f ca="1">LEFT(H91,FIND("1",H91)-1)</f>
        <v>HP_</v>
      </c>
      <c r="G91" s="644" t="str">
        <f ca="1">RIGHT(H91,LEN(H91)-FIND("!",H91))</f>
        <v>N12</v>
      </c>
      <c r="H91" s="645" t="str">
        <f ca="1">SUBSTITUTE( _xlfn.FORMULATEXT(B91),"=","")</f>
        <v>HP_1!N12</v>
      </c>
    </row>
    <row r="92" spans="1:14" ht="15.75">
      <c r="A92" s="316" t="str">
        <f>HP_1!A3</f>
        <v>Total heat loss (W/K) taken from DEAP</v>
      </c>
      <c r="B92" s="646">
        <f>HP_1!B3</f>
        <v>0</v>
      </c>
      <c r="C92" s="643" cm="1">
        <f t="array" aca="1" ref="C92" ca="1">INDIRECT($F92&amp;C$90&amp;"!"&amp;$G92)</f>
        <v>0</v>
      </c>
      <c r="D92" s="643" cm="1">
        <f t="array" aca="1" ref="D92" ca="1">INDIRECT($F92&amp;D$90&amp;"!"&amp;$G92)</f>
        <v>0</v>
      </c>
      <c r="E92" s="328">
        <f>VLOOKUP(A92,A92:D92,$K$1+1,FALSE)</f>
        <v>0</v>
      </c>
      <c r="F92" s="644" t="str">
        <f ca="1">LEFT(H92,FIND("1",H92)-1)</f>
        <v>HP_</v>
      </c>
      <c r="G92" s="644" t="str">
        <f ca="1">RIGHT(H92,LEN(H92)-FIND("!",H92))</f>
        <v>B3</v>
      </c>
      <c r="H92" s="645" t="str">
        <f ca="1">SUBSTITUTE( _xlfn.FORMULATEXT(B92),"=","")</f>
        <v>HP_1!B3</v>
      </c>
    </row>
    <row r="93" spans="1:14" ht="60">
      <c r="A93" s="316" t="str">
        <f>HP_1!A4</f>
        <v>Heat Loss Watts</v>
      </c>
      <c r="B93" s="642" t="str">
        <f>HP_1!B4</f>
        <v>Please complete DEAPEntries tab</v>
      </c>
      <c r="C93" s="643" t="str" cm="1">
        <f t="array" aca="1" ref="C93" ca="1">INDIRECT($F93&amp;C$90&amp;"!"&amp;$G93)</f>
        <v>Please complete DEAPEntries tab</v>
      </c>
      <c r="D93" s="643" t="str" cm="1">
        <f t="array" aca="1" ref="D93" ca="1">INDIRECT($F93&amp;D$90&amp;"!"&amp;$G93)</f>
        <v>Please complete DEAPEntries tab</v>
      </c>
      <c r="E93" s="328" t="str">
        <f t="shared" ref="E93:E97" si="36">VLOOKUP(A93,A93:D93,$K$1+1,FALSE)</f>
        <v>Please complete DEAPEntries tab</v>
      </c>
      <c r="F93" s="644" t="str">
        <f t="shared" ref="F93:F97" ca="1" si="37">LEFT(H93,FIND("1",H93)-1)</f>
        <v>HP_</v>
      </c>
      <c r="G93" s="644" t="str">
        <f t="shared" ref="G93:G97" ca="1" si="38">RIGHT(H93,LEN(H93)-FIND("!",H93))</f>
        <v>B4</v>
      </c>
      <c r="H93" s="645" t="str">
        <f t="shared" ref="H93:H97" ca="1" si="39">SUBSTITUTE( _xlfn.FORMULATEXT(B93),"=","")</f>
        <v>HP_1!B4</v>
      </c>
    </row>
    <row r="94" spans="1:14" ht="31.5">
      <c r="A94" s="316" t="str">
        <f>HP_1!A5</f>
        <v>Is this Heat Pump part of a Group Heating Scheme</v>
      </c>
      <c r="B94" s="642" t="str">
        <f>HP_1!B5</f>
        <v>No</v>
      </c>
      <c r="C94" s="643" t="str" cm="1">
        <f t="array" aca="1" ref="C94" ca="1">INDIRECT($F94&amp;C$90&amp;"!"&amp;$G94)</f>
        <v>No</v>
      </c>
      <c r="D94" s="643" t="str" cm="1">
        <f t="array" aca="1" ref="D94" ca="1">INDIRECT($F94&amp;D$90&amp;"!"&amp;$G94)</f>
        <v>No</v>
      </c>
      <c r="E94" s="329" t="str">
        <f t="shared" si="36"/>
        <v>No</v>
      </c>
      <c r="F94" s="644" t="str">
        <f t="shared" ca="1" si="37"/>
        <v>HP_</v>
      </c>
      <c r="G94" s="644" t="str">
        <f t="shared" ca="1" si="38"/>
        <v>B5</v>
      </c>
      <c r="H94" s="645" t="str">
        <f t="shared" ca="1" si="39"/>
        <v>HP_1!B5</v>
      </c>
    </row>
    <row r="95" spans="1:14" ht="31.5">
      <c r="A95" s="316" t="str">
        <f>HP_1!A6</f>
        <v>Proportion of main space heating provided by this heat pump</v>
      </c>
      <c r="B95" s="642">
        <f>HP_1!B6</f>
        <v>0</v>
      </c>
      <c r="C95" s="643" cm="1">
        <f t="array" aca="1" ref="C95" ca="1">INDIRECT($F95&amp;C$90&amp;"!"&amp;$G95)</f>
        <v>0</v>
      </c>
      <c r="D95" s="643" cm="1">
        <f t="array" aca="1" ref="D95" ca="1">INDIRECT($F95&amp;D$90&amp;"!"&amp;$G95)</f>
        <v>0</v>
      </c>
      <c r="E95" s="330">
        <f t="shared" si="36"/>
        <v>0</v>
      </c>
      <c r="F95" s="644" t="str">
        <f t="shared" ca="1" si="37"/>
        <v>HP_</v>
      </c>
      <c r="G95" s="644" t="str">
        <f t="shared" ca="1" si="38"/>
        <v>B6</v>
      </c>
      <c r="H95" s="645" t="str">
        <f t="shared" ca="1" si="39"/>
        <v>HP_1!B6</v>
      </c>
    </row>
    <row r="96" spans="1:14" ht="15.75">
      <c r="A96" s="316" t="str">
        <f>HP_1!A7</f>
        <v>Floor Area of Dwelling</v>
      </c>
      <c r="B96" s="642">
        <f>HP_1!B7</f>
        <v>0</v>
      </c>
      <c r="C96" s="643" cm="1">
        <f t="array" aca="1" ref="C96" ca="1">INDIRECT($F96&amp;C$90&amp;"!"&amp;$G96)</f>
        <v>0</v>
      </c>
      <c r="D96" s="643" cm="1">
        <f t="array" aca="1" ref="D96" ca="1">INDIRECT($F96&amp;D$90&amp;"!"&amp;$G96)</f>
        <v>0</v>
      </c>
      <c r="E96" s="329">
        <f t="shared" si="36"/>
        <v>0</v>
      </c>
      <c r="F96" s="644" t="str">
        <f t="shared" ca="1" si="37"/>
        <v>HP_</v>
      </c>
      <c r="G96" s="644" t="str">
        <f t="shared" ca="1" si="38"/>
        <v>B7</v>
      </c>
      <c r="H96" s="645" t="str">
        <f t="shared" ca="1" si="39"/>
        <v>HP_1!B7</v>
      </c>
    </row>
    <row r="97" spans="1:8" ht="31.5">
      <c r="A97" s="316" t="str">
        <f>HP_1!A8</f>
        <v>If Heat Pump serves a Group Heat Scheme, the total Floor Area served by Heat Pump is:</v>
      </c>
      <c r="B97" s="642">
        <f>HP_1!B8</f>
        <v>0</v>
      </c>
      <c r="C97" s="643" cm="1">
        <f t="array" aca="1" ref="C97" ca="1">INDIRECT($F97&amp;C$90&amp;"!"&amp;$G97)</f>
        <v>0</v>
      </c>
      <c r="D97" s="643" cm="1">
        <f t="array" aca="1" ref="D97" ca="1">INDIRECT($F97&amp;D$90&amp;"!"&amp;$G97)</f>
        <v>0</v>
      </c>
      <c r="E97" s="329">
        <f t="shared" si="36"/>
        <v>0</v>
      </c>
      <c r="F97" s="644" t="str">
        <f t="shared" ca="1" si="37"/>
        <v>HP_</v>
      </c>
      <c r="G97" s="644" t="str">
        <f t="shared" ca="1" si="38"/>
        <v>B8</v>
      </c>
      <c r="H97" s="645" t="str">
        <f t="shared" ca="1" si="39"/>
        <v>HP_1!B8</v>
      </c>
    </row>
    <row r="98" spans="1:8" ht="15.75">
      <c r="A98" s="316" t="str">
        <f>HP_1!A12</f>
        <v>Type of heat pump</v>
      </c>
      <c r="B98" s="642" t="str">
        <f>HP_1!B12</f>
        <v>Air to Water</v>
      </c>
      <c r="C98" s="643" t="str" cm="1">
        <f t="array" aca="1" ref="C98" ca="1">INDIRECT($F98&amp;C$90&amp;"!"&amp;$G98)</f>
        <v>Air to Water</v>
      </c>
      <c r="D98" s="643" t="str" cm="1">
        <f t="array" aca="1" ref="D98" ca="1">INDIRECT($F98&amp;D$90&amp;"!"&amp;$G98)</f>
        <v>Air to Water</v>
      </c>
      <c r="E98" s="329" t="str">
        <f t="shared" ref="E98:E135" si="40">VLOOKUP(A98,A98:D98,$K$1+1,FALSE)</f>
        <v>Air to Water</v>
      </c>
      <c r="F98" s="644" t="str">
        <f t="shared" ref="F98:F135" ca="1" si="41">LEFT(H98,FIND("1",H98)-1)</f>
        <v>HP_</v>
      </c>
      <c r="G98" s="644" t="str">
        <f t="shared" ref="G98:G135" ca="1" si="42">RIGHT(H98,LEN(H98)-FIND("!",H98))</f>
        <v>B12</v>
      </c>
      <c r="H98" s="645" t="str">
        <f t="shared" ref="H98:H135" ca="1" si="43">SUBSTITUTE( _xlfn.FORMULATEXT(B98),"=","")</f>
        <v>HP_1!B12</v>
      </c>
    </row>
    <row r="99" spans="1:8" ht="47.25">
      <c r="A99" s="316" t="str">
        <f>HP_1!A13</f>
        <v>Temperature Control 
(refered to as Capacity Control in Ecodesign Standard Template)</v>
      </c>
      <c r="B99" s="642" t="str">
        <f>HP_1!B13</f>
        <v>Fixed Outlet</v>
      </c>
      <c r="C99" s="643" t="str" cm="1">
        <f t="array" aca="1" ref="C99" ca="1">INDIRECT($F99&amp;C$90&amp;"!"&amp;$G99)</f>
        <v>Fixed Outlet</v>
      </c>
      <c r="D99" s="643" t="str" cm="1">
        <f t="array" aca="1" ref="D99" ca="1">INDIRECT($F99&amp;D$90&amp;"!"&amp;$G99)</f>
        <v>Fixed Outlet</v>
      </c>
      <c r="E99" s="329" t="str">
        <f t="shared" si="40"/>
        <v>Fixed Outlet</v>
      </c>
      <c r="F99" s="644" t="str">
        <f t="shared" ca="1" si="41"/>
        <v>HP_</v>
      </c>
      <c r="G99" s="644" t="str">
        <f t="shared" ca="1" si="42"/>
        <v>B13</v>
      </c>
      <c r="H99" s="645" t="str">
        <f t="shared" ca="1" si="43"/>
        <v>HP_1!B13</v>
      </c>
    </row>
    <row r="100" spans="1:8" ht="15.75">
      <c r="A100" s="316" t="str">
        <f>HP_1!A14</f>
        <v>Space Heating Test Standard</v>
      </c>
      <c r="B100" s="646" t="str">
        <f>HP_1!B14</f>
        <v>I.S. EN 14825</v>
      </c>
      <c r="C100" s="643" t="str" cm="1">
        <f t="array" aca="1" ref="C100" ca="1">INDIRECT($F100&amp;C$90&amp;"!"&amp;$G100)</f>
        <v>I.S. EN 14825</v>
      </c>
      <c r="D100" s="643" t="str" cm="1">
        <f t="array" aca="1" ref="D100" ca="1">INDIRECT($F100&amp;D$90&amp;"!"&amp;$G100)</f>
        <v>I.S. EN 14825</v>
      </c>
      <c r="E100" s="327" t="str">
        <f t="shared" si="40"/>
        <v>I.S. EN 14825</v>
      </c>
      <c r="F100" s="644" t="str">
        <f t="shared" ca="1" si="41"/>
        <v>HP_</v>
      </c>
      <c r="G100" s="644" t="str">
        <f t="shared" ca="1" si="42"/>
        <v>B14</v>
      </c>
      <c r="H100" s="645" t="str">
        <f t="shared" ca="1" si="43"/>
        <v>HP_1!B14</v>
      </c>
    </row>
    <row r="101" spans="1:8" ht="15.75">
      <c r="A101" s="316" t="str">
        <f>HP_1!A15</f>
        <v>Operation Limit Temperature (TOL)</v>
      </c>
      <c r="B101" s="646" t="str">
        <f>HP_1!B15</f>
        <v xml:space="preserve"> </v>
      </c>
      <c r="C101" s="643" cm="1">
        <f t="array" aca="1" ref="C101" ca="1">INDIRECT($F101&amp;C$90&amp;"!"&amp;$G101)</f>
        <v>0</v>
      </c>
      <c r="D101" s="643" cm="1">
        <f t="array" aca="1" ref="D101" ca="1">INDIRECT($F101&amp;D$90&amp;"!"&amp;$G101)</f>
        <v>0</v>
      </c>
      <c r="E101" s="327" t="str">
        <f t="shared" si="40"/>
        <v xml:space="preserve"> </v>
      </c>
      <c r="F101" s="644" t="str">
        <f t="shared" ca="1" si="41"/>
        <v>HP_</v>
      </c>
      <c r="G101" s="644" t="str">
        <f t="shared" ca="1" si="42"/>
        <v>B15</v>
      </c>
      <c r="H101" s="645" t="str">
        <f t="shared" ca="1" si="43"/>
        <v>HP_1!B15</v>
      </c>
    </row>
    <row r="102" spans="1:8" ht="31.5">
      <c r="A102" s="316" t="str">
        <f>HP_1!A16</f>
        <v>Heating water operating limit temperature (WTOL)</v>
      </c>
      <c r="B102" s="646" t="str">
        <f>HP_1!B16</f>
        <v xml:space="preserve"> </v>
      </c>
      <c r="C102" s="643" cm="1">
        <f t="array" aca="1" ref="C102" ca="1">INDIRECT($F102&amp;C$90&amp;"!"&amp;$G102)</f>
        <v>0</v>
      </c>
      <c r="D102" s="643" cm="1">
        <f t="array" aca="1" ref="D102" ca="1">INDIRECT($F102&amp;D$90&amp;"!"&amp;$G102)</f>
        <v>0</v>
      </c>
      <c r="E102" s="327" t="str">
        <f t="shared" si="40"/>
        <v xml:space="preserve"> </v>
      </c>
      <c r="F102" s="644" t="str">
        <f t="shared" ca="1" si="41"/>
        <v>HP_</v>
      </c>
      <c r="G102" s="644" t="str">
        <f t="shared" ca="1" si="42"/>
        <v>B16</v>
      </c>
      <c r="H102" s="645" t="str">
        <f t="shared" ca="1" si="43"/>
        <v>HP_1!B16</v>
      </c>
    </row>
    <row r="103" spans="1:8" ht="15.75">
      <c r="A103" s="316" t="str">
        <f>HP_1!A17</f>
        <v>Annual space heating provided by Heat Pump</v>
      </c>
      <c r="B103" s="646">
        <f>HP_1!B17</f>
        <v>0</v>
      </c>
      <c r="C103" s="643" cm="1">
        <f t="array" aca="1" ref="C103" ca="1">INDIRECT($F103&amp;C$90&amp;"!"&amp;$G103)</f>
        <v>0</v>
      </c>
      <c r="D103" s="643" cm="1">
        <f t="array" aca="1" ref="D103" ca="1">INDIRECT($F103&amp;D$90&amp;"!"&amp;$G103)</f>
        <v>0</v>
      </c>
      <c r="E103" s="331">
        <f t="shared" si="40"/>
        <v>0</v>
      </c>
      <c r="F103" s="644" t="str">
        <f t="shared" ca="1" si="41"/>
        <v>HP_</v>
      </c>
      <c r="G103" s="644" t="str">
        <f t="shared" ca="1" si="42"/>
        <v>B17</v>
      </c>
      <c r="H103" s="645" t="str">
        <f t="shared" ca="1" si="43"/>
        <v>HP_1!B17</v>
      </c>
    </row>
    <row r="104" spans="1:8" ht="15.75">
      <c r="A104" s="316" t="str">
        <f>HP_1!A18</f>
        <v>Design Outdoor Temperature</v>
      </c>
      <c r="B104" s="642">
        <f>HP_1!B18</f>
        <v>-3</v>
      </c>
      <c r="C104" s="643" cm="1">
        <f t="array" aca="1" ref="C104" ca="1">INDIRECT($F104&amp;C$90&amp;"!"&amp;$G104)</f>
        <v>-3</v>
      </c>
      <c r="D104" s="643" cm="1">
        <f t="array" aca="1" ref="D104" ca="1">INDIRECT($F104&amp;D$90&amp;"!"&amp;$G104)</f>
        <v>-3</v>
      </c>
      <c r="E104" s="327">
        <f t="shared" si="40"/>
        <v>-3</v>
      </c>
      <c r="F104" s="644" t="str">
        <f t="shared" ca="1" si="41"/>
        <v>HP_</v>
      </c>
      <c r="G104" s="644" t="str">
        <f t="shared" ca="1" si="42"/>
        <v>B18</v>
      </c>
      <c r="H104" s="645" t="str">
        <f t="shared" ca="1" si="43"/>
        <v>HP_1!B18</v>
      </c>
    </row>
    <row r="105" spans="1:8" ht="31.5">
      <c r="A105" s="316" t="str">
        <f>HP_1!A19</f>
        <v>Indoor Design Temperature (Mean Internal Temperature)</v>
      </c>
      <c r="B105" s="647" t="str">
        <f>HP_1!B19</f>
        <v>Please complete DEAP Entries tab</v>
      </c>
      <c r="C105" s="643" t="str" cm="1">
        <f t="array" aca="1" ref="C105" ca="1">INDIRECT($F105&amp;C$90&amp;"!"&amp;$G105)</f>
        <v>Please complete DEAP Entries tab</v>
      </c>
      <c r="D105" s="643" t="str" cm="1">
        <f t="array" aca="1" ref="D105" ca="1">INDIRECT($F105&amp;D$90&amp;"!"&amp;$G105)</f>
        <v>Please complete DEAP Entries tab</v>
      </c>
      <c r="E105" s="327" t="str">
        <f t="shared" si="40"/>
        <v>Please complete DEAP Entries tab</v>
      </c>
      <c r="F105" s="644" t="str">
        <f t="shared" ca="1" si="41"/>
        <v>HP_</v>
      </c>
      <c r="G105" s="644" t="str">
        <f t="shared" ca="1" si="42"/>
        <v>B19</v>
      </c>
      <c r="H105" s="645" t="str">
        <f t="shared" ca="1" si="43"/>
        <v>HP_1!B19</v>
      </c>
    </row>
    <row r="106" spans="1:8" ht="15.75">
      <c r="A106" s="316" t="str">
        <f>HP_1!A24</f>
        <v>Air used as Emitter (to Air Units)</v>
      </c>
      <c r="B106" s="642" t="str">
        <f>HP_1!B24</f>
        <v>No</v>
      </c>
      <c r="C106" s="643" t="str" cm="1">
        <f t="array" aca="1" ref="C106" ca="1">INDIRECT($F106&amp;C$90&amp;"!"&amp;$G106)</f>
        <v>No</v>
      </c>
      <c r="D106" s="643" t="str" cm="1">
        <f t="array" aca="1" ref="D106" ca="1">INDIRECT($F106&amp;D$90&amp;"!"&amp;$G106)</f>
        <v>No</v>
      </c>
      <c r="E106" s="327" t="str">
        <f t="shared" si="40"/>
        <v>No</v>
      </c>
      <c r="F106" s="644" t="str">
        <f t="shared" ca="1" si="41"/>
        <v>HP_</v>
      </c>
      <c r="G106" s="644" t="str">
        <f t="shared" ca="1" si="42"/>
        <v>B24</v>
      </c>
      <c r="H106" s="645" t="str">
        <f t="shared" ca="1" si="43"/>
        <v>HP_1!B24</v>
      </c>
    </row>
    <row r="107" spans="1:8" ht="47.25">
      <c r="A107" s="316" t="str">
        <f>HP_1!A25</f>
        <v>Design Flow Temperature
Use "Default Supply Temperature" unless other evidence available</v>
      </c>
      <c r="B107" s="642">
        <f>HP_1!B25</f>
        <v>0</v>
      </c>
      <c r="C107" s="643" cm="1">
        <f t="array" aca="1" ref="C107" ca="1">INDIRECT($F107&amp;C$90&amp;"!"&amp;$G107)</f>
        <v>0</v>
      </c>
      <c r="D107" s="643" cm="1">
        <f t="array" aca="1" ref="D107" ca="1">INDIRECT($F107&amp;D$90&amp;"!"&amp;$G107)</f>
        <v>0</v>
      </c>
      <c r="E107" s="327">
        <f t="shared" si="40"/>
        <v>0</v>
      </c>
      <c r="F107" s="644" t="str">
        <f t="shared" ca="1" si="41"/>
        <v>HP_</v>
      </c>
      <c r="G107" s="644" t="str">
        <f t="shared" ca="1" si="42"/>
        <v>B25</v>
      </c>
      <c r="H107" s="645" t="str">
        <f t="shared" ca="1" si="43"/>
        <v>HP_1!B25</v>
      </c>
    </row>
    <row r="108" spans="1:8" ht="31.5">
      <c r="A108" s="316" t="str">
        <f>HP_1!A26</f>
        <v>Exponent n, characterising type of emission system</v>
      </c>
      <c r="B108" s="642">
        <f>HP_1!B26</f>
        <v>1.2</v>
      </c>
      <c r="C108" s="643" cm="1">
        <f t="array" aca="1" ref="C108" ca="1">INDIRECT($F108&amp;C$90&amp;"!"&amp;$G108)</f>
        <v>1.2</v>
      </c>
      <c r="D108" s="643" cm="1">
        <f t="array" aca="1" ref="D108" ca="1">INDIRECT($F108&amp;D$90&amp;"!"&amp;$G108)</f>
        <v>1.2</v>
      </c>
      <c r="E108" s="327">
        <f t="shared" si="40"/>
        <v>1.2</v>
      </c>
      <c r="F108" s="644" t="str">
        <f t="shared" ca="1" si="41"/>
        <v>HP_</v>
      </c>
      <c r="G108" s="644" t="str">
        <f t="shared" ca="1" si="42"/>
        <v>B26</v>
      </c>
      <c r="H108" s="645" t="str">
        <f t="shared" ca="1" si="43"/>
        <v>HP_1!B26</v>
      </c>
    </row>
    <row r="109" spans="1:8" ht="15.75">
      <c r="A109" s="316" t="str">
        <f>HP_1!A27</f>
        <v>Emitter Temperature Drop</v>
      </c>
      <c r="B109" s="642">
        <f>HP_1!B27</f>
        <v>10</v>
      </c>
      <c r="C109" s="643" cm="1">
        <f t="array" aca="1" ref="C109" ca="1">INDIRECT($F109&amp;C$90&amp;"!"&amp;$G109)</f>
        <v>10</v>
      </c>
      <c r="D109" s="643" cm="1">
        <f t="array" aca="1" ref="D109" ca="1">INDIRECT($F109&amp;D$90&amp;"!"&amp;$G109)</f>
        <v>10</v>
      </c>
      <c r="E109" s="327">
        <f t="shared" si="40"/>
        <v>10</v>
      </c>
      <c r="F109" s="644" t="str">
        <f t="shared" ca="1" si="41"/>
        <v>HP_</v>
      </c>
      <c r="G109" s="644" t="str">
        <f t="shared" ca="1" si="42"/>
        <v>B27</v>
      </c>
      <c r="H109" s="645" t="str">
        <f t="shared" ca="1" si="43"/>
        <v>HP_1!B27</v>
      </c>
    </row>
    <row r="110" spans="1:8" ht="15.75">
      <c r="A110" s="316" t="str">
        <f>HP_1!A28</f>
        <v>Return Temperature at design conditions</v>
      </c>
      <c r="B110" s="642">
        <f>HP_1!B28</f>
        <v>-10</v>
      </c>
      <c r="C110" s="643" cm="1">
        <f t="array" aca="1" ref="C110" ca="1">INDIRECT($F110&amp;C$90&amp;"!"&amp;$G110)</f>
        <v>-10</v>
      </c>
      <c r="D110" s="643" cm="1">
        <f t="array" aca="1" ref="D110" ca="1">INDIRECT($F110&amp;D$90&amp;"!"&amp;$G110)</f>
        <v>-10</v>
      </c>
      <c r="E110" s="327">
        <f t="shared" si="40"/>
        <v>-10</v>
      </c>
      <c r="F110" s="644" t="str">
        <f t="shared" ca="1" si="41"/>
        <v>HP_</v>
      </c>
      <c r="G110" s="644" t="str">
        <f t="shared" ca="1" si="42"/>
        <v>B28</v>
      </c>
      <c r="H110" s="645" t="str">
        <f t="shared" ca="1" si="43"/>
        <v>HP_1!B28</v>
      </c>
    </row>
    <row r="111" spans="1:8" ht="15.75">
      <c r="A111" s="316" t="str">
        <f>HP_1!A29</f>
        <v>No of Hrs per Day Heat Pump in Operation</v>
      </c>
      <c r="B111" s="648">
        <f>HP_1!B29</f>
        <v>8</v>
      </c>
      <c r="C111" s="643" cm="1">
        <f t="array" aca="1" ref="C111" ca="1">INDIRECT($F111&amp;C$90&amp;"!"&amp;$G111)</f>
        <v>8</v>
      </c>
      <c r="D111" s="643" cm="1">
        <f t="array" aca="1" ref="D111" ca="1">INDIRECT($F111&amp;D$90&amp;"!"&amp;$G111)</f>
        <v>8</v>
      </c>
      <c r="E111" s="327">
        <f t="shared" si="40"/>
        <v>8</v>
      </c>
      <c r="F111" s="644" t="str">
        <f t="shared" ca="1" si="41"/>
        <v>HP_</v>
      </c>
      <c r="G111" s="644" t="str">
        <f t="shared" ca="1" si="42"/>
        <v>B29</v>
      </c>
      <c r="H111" s="645" t="str">
        <f t="shared" ca="1" si="43"/>
        <v>HP_1!B29</v>
      </c>
    </row>
    <row r="112" spans="1:8" ht="15.75">
      <c r="A112" s="316" t="str">
        <f>HP_1!A30</f>
        <v>Cut-out hours</v>
      </c>
      <c r="B112" s="642">
        <f>HP_1!B30</f>
        <v>16</v>
      </c>
      <c r="C112" s="643" cm="1">
        <f t="array" aca="1" ref="C112" ca="1">INDIRECT($F112&amp;C$90&amp;"!"&amp;$G112)</f>
        <v>16</v>
      </c>
      <c r="D112" s="643" cm="1">
        <f t="array" aca="1" ref="D112" ca="1">INDIRECT($F112&amp;D$90&amp;"!"&amp;$G112)</f>
        <v>16</v>
      </c>
      <c r="E112" s="327">
        <f t="shared" si="40"/>
        <v>16</v>
      </c>
      <c r="F112" s="644" t="str">
        <f t="shared" ca="1" si="41"/>
        <v>HP_</v>
      </c>
      <c r="G112" s="644" t="str">
        <f t="shared" ca="1" si="42"/>
        <v>B30</v>
      </c>
      <c r="H112" s="645" t="str">
        <f t="shared" ca="1" si="43"/>
        <v>HP_1!B30</v>
      </c>
    </row>
    <row r="113" spans="1:8" ht="15.75">
      <c r="A113" s="316" t="str">
        <f>HP_1!A31</f>
        <v>Heat pump fuel primary energy factor</v>
      </c>
      <c r="B113" s="642">
        <f>HP_1!B31</f>
        <v>2.08</v>
      </c>
      <c r="C113" s="643" cm="1">
        <f t="array" aca="1" ref="C113" ca="1">INDIRECT($F113&amp;C$90&amp;"!"&amp;$G113)</f>
        <v>2.08</v>
      </c>
      <c r="D113" s="643" cm="1">
        <f t="array" aca="1" ref="D113" ca="1">INDIRECT($F113&amp;D$90&amp;"!"&amp;$G113)</f>
        <v>2.08</v>
      </c>
      <c r="E113" s="327">
        <f t="shared" si="40"/>
        <v>2.08</v>
      </c>
      <c r="F113" s="644" t="str">
        <f t="shared" ca="1" si="41"/>
        <v>HP_</v>
      </c>
      <c r="G113" s="644" t="str">
        <f t="shared" ca="1" si="42"/>
        <v>B31</v>
      </c>
      <c r="H113" s="645" t="str">
        <f t="shared" ca="1" si="43"/>
        <v>HP_1!B31</v>
      </c>
    </row>
    <row r="114" spans="1:8" ht="31.5">
      <c r="A114" s="316" t="str">
        <f>HP_1!A32</f>
        <v>Is a Back Up Space Heater Present within Dwelling</v>
      </c>
      <c r="B114" s="642" t="str">
        <f>HP_1!B32</f>
        <v>No</v>
      </c>
      <c r="C114" s="643" t="str" cm="1">
        <f t="array" aca="1" ref="C114" ca="1">INDIRECT($F114&amp;C$90&amp;"!"&amp;$G114)</f>
        <v>No</v>
      </c>
      <c r="D114" s="643" t="str" cm="1">
        <f t="array" aca="1" ref="D114" ca="1">INDIRECT($F114&amp;D$90&amp;"!"&amp;$G114)</f>
        <v>No</v>
      </c>
      <c r="E114" s="327" t="str">
        <f t="shared" si="40"/>
        <v>No</v>
      </c>
      <c r="F114" s="644" t="str">
        <f t="shared" ca="1" si="41"/>
        <v>HP_</v>
      </c>
      <c r="G114" s="644" t="str">
        <f t="shared" ca="1" si="42"/>
        <v>B32</v>
      </c>
      <c r="H114" s="645" t="str">
        <f t="shared" ca="1" si="43"/>
        <v>HP_1!B32</v>
      </c>
    </row>
    <row r="115" spans="1:8" ht="15.75">
      <c r="A115" s="316" t="str">
        <f>HP_1!A33</f>
        <v>Back Up Space Heater Fuel</v>
      </c>
      <c r="B115" s="642" t="str">
        <f>HP_1!B33</f>
        <v>Electricity</v>
      </c>
      <c r="C115" s="643" t="str" cm="1">
        <f t="array" aca="1" ref="C115" ca="1">INDIRECT($F115&amp;C$90&amp;"!"&amp;$G115)</f>
        <v>Electricity</v>
      </c>
      <c r="D115" s="643" t="str" cm="1">
        <f t="array" aca="1" ref="D115" ca="1">INDIRECT($F115&amp;D$90&amp;"!"&amp;$G115)</f>
        <v>Electricity</v>
      </c>
      <c r="E115" s="327" t="str">
        <f t="shared" si="40"/>
        <v>Electricity</v>
      </c>
      <c r="F115" s="644" t="str">
        <f t="shared" ca="1" si="41"/>
        <v>HP_</v>
      </c>
      <c r="G115" s="644" t="str">
        <f t="shared" ca="1" si="42"/>
        <v>B33</v>
      </c>
      <c r="H115" s="645" t="str">
        <f t="shared" ca="1" si="43"/>
        <v>HP_1!B33</v>
      </c>
    </row>
    <row r="116" spans="1:8" ht="15.75">
      <c r="A116" s="316" t="str">
        <f>HP_1!A34</f>
        <v>Primary Energy Factor for Back Up Space Heater</v>
      </c>
      <c r="B116" s="642">
        <f>HP_1!B34</f>
        <v>2.08</v>
      </c>
      <c r="C116" s="643" cm="1">
        <f t="array" aca="1" ref="C116" ca="1">INDIRECT($F116&amp;C$90&amp;"!"&amp;$G116)</f>
        <v>2.08</v>
      </c>
      <c r="D116" s="643" cm="1">
        <f t="array" aca="1" ref="D116" ca="1">INDIRECT($F116&amp;D$90&amp;"!"&amp;$G116)</f>
        <v>2.08</v>
      </c>
      <c r="E116" s="327">
        <f t="shared" si="40"/>
        <v>2.08</v>
      </c>
      <c r="F116" s="644" t="str">
        <f t="shared" ca="1" si="41"/>
        <v>HP_</v>
      </c>
      <c r="G116" s="644" t="str">
        <f t="shared" ca="1" si="42"/>
        <v>B34</v>
      </c>
      <c r="H116" s="645" t="str">
        <f t="shared" ca="1" si="43"/>
        <v>HP_1!B34</v>
      </c>
    </row>
    <row r="117" spans="1:8" ht="15.75">
      <c r="A117" s="316" t="str">
        <f>HP_1!A35</f>
        <v>Efficiency of Back up Space Heater</v>
      </c>
      <c r="B117" s="642">
        <f>HP_1!B35</f>
        <v>0</v>
      </c>
      <c r="C117" s="643" cm="1">
        <f t="array" aca="1" ref="C117" ca="1">INDIRECT($F117&amp;C$90&amp;"!"&amp;$G117)</f>
        <v>0</v>
      </c>
      <c r="D117" s="643" cm="1">
        <f t="array" aca="1" ref="D117" ca="1">INDIRECT($F117&amp;D$90&amp;"!"&amp;$G117)</f>
        <v>0</v>
      </c>
      <c r="E117" s="327">
        <f t="shared" si="40"/>
        <v>0</v>
      </c>
      <c r="F117" s="644" t="str">
        <f t="shared" ca="1" si="41"/>
        <v>HP_</v>
      </c>
      <c r="G117" s="644" t="str">
        <f t="shared" ca="1" si="42"/>
        <v>B35</v>
      </c>
      <c r="H117" s="645" t="str">
        <f t="shared" ca="1" si="43"/>
        <v>HP_1!B35</v>
      </c>
    </row>
    <row r="118" spans="1:8" ht="31.5">
      <c r="A118" s="316" t="str">
        <f>HP_1!A36</f>
        <v>Adjusted Efficiency of Back up Space Heater relative to fuel used for heat pump</v>
      </c>
      <c r="B118" s="649">
        <f>HP_1!B36</f>
        <v>1</v>
      </c>
      <c r="C118" s="643" cm="1">
        <f t="array" aca="1" ref="C118" ca="1">INDIRECT($F118&amp;C$90&amp;"!"&amp;$G118)</f>
        <v>1</v>
      </c>
      <c r="D118" s="643" cm="1">
        <f t="array" aca="1" ref="D118" ca="1">INDIRECT($F118&amp;D$90&amp;"!"&amp;$G118)</f>
        <v>1</v>
      </c>
      <c r="E118" s="332">
        <f t="shared" si="40"/>
        <v>1</v>
      </c>
      <c r="F118" s="644" t="str">
        <f t="shared" ca="1" si="41"/>
        <v>HP_</v>
      </c>
      <c r="G118" s="644" t="str">
        <f t="shared" ca="1" si="42"/>
        <v>B36</v>
      </c>
      <c r="H118" s="645" t="str">
        <f t="shared" ca="1" si="43"/>
        <v>HP_1!B36</v>
      </c>
    </row>
    <row r="119" spans="1:8" ht="30">
      <c r="A119" s="316" t="str">
        <f>HP_1!$AD$1&amp;": temp1"</f>
        <v>Test temps: temp1</v>
      </c>
      <c r="B119" s="642" t="str">
        <f>HP_1!$AD2</f>
        <v>Low Temperature</v>
      </c>
      <c r="C119" s="643" t="str" cm="1">
        <f t="array" aca="1" ref="C119" ca="1">INDIRECT($F119&amp;C$90&amp;"!"&amp;$G119)</f>
        <v>Low Temperature</v>
      </c>
      <c r="D119" s="643" t="str" cm="1">
        <f t="array" aca="1" ref="D119" ca="1">INDIRECT($F119&amp;D$90&amp;"!"&amp;$G119)</f>
        <v>Low Temperature</v>
      </c>
      <c r="E119" s="329" t="str">
        <f t="shared" si="40"/>
        <v>Low Temperature</v>
      </c>
      <c r="F119" s="644" t="str">
        <f t="shared" ca="1" si="41"/>
        <v>HP_</v>
      </c>
      <c r="G119" s="644" t="str">
        <f t="shared" ca="1" si="42"/>
        <v>$AD2</v>
      </c>
      <c r="H119" s="645" t="str">
        <f t="shared" ca="1" si="43"/>
        <v>HP_1!$AD2</v>
      </c>
    </row>
    <row r="120" spans="1:8" ht="30">
      <c r="A120" s="316" t="str">
        <f>HP_1!$AD$1&amp;": temp2"</f>
        <v>Test temps: temp2</v>
      </c>
      <c r="B120" s="642" t="str">
        <f>HP_1!$AD3</f>
        <v>Medium Temperature</v>
      </c>
      <c r="C120" s="643" t="str" cm="1">
        <f t="array" aca="1" ref="C120" ca="1">INDIRECT($F120&amp;C$90&amp;"!"&amp;$G120)</f>
        <v>Medium Temperature</v>
      </c>
      <c r="D120" s="643" t="str" cm="1">
        <f t="array" aca="1" ref="D120" ca="1">INDIRECT($F120&amp;D$90&amp;"!"&amp;$G120)</f>
        <v>Medium Temperature</v>
      </c>
      <c r="E120" s="329" t="str">
        <f t="shared" si="40"/>
        <v>Medium Temperature</v>
      </c>
      <c r="F120" s="644" t="str">
        <f t="shared" ca="1" si="41"/>
        <v>HP_</v>
      </c>
      <c r="G120" s="644" t="str">
        <f t="shared" ca="1" si="42"/>
        <v>$AD3</v>
      </c>
      <c r="H120" s="645" t="str">
        <f t="shared" ca="1" si="43"/>
        <v>HP_1!$AD3</v>
      </c>
    </row>
    <row r="121" spans="1:8" ht="30">
      <c r="A121" s="316" t="str">
        <f>HP_1!$AD$1&amp;": temp3"</f>
        <v>Test temps: temp3</v>
      </c>
      <c r="B121" s="642" t="str">
        <f>HP_1!$AD4</f>
        <v>High Temperature</v>
      </c>
      <c r="C121" s="643" t="str" cm="1">
        <f t="array" aca="1" ref="C121" ca="1">INDIRECT($F121&amp;C$90&amp;"!"&amp;$G121)</f>
        <v>High Temperature</v>
      </c>
      <c r="D121" s="643" t="str" cm="1">
        <f t="array" aca="1" ref="D121" ca="1">INDIRECT($F121&amp;D$90&amp;"!"&amp;$G121)</f>
        <v>High Temperature</v>
      </c>
      <c r="E121" s="329" t="str">
        <f t="shared" si="40"/>
        <v>High Temperature</v>
      </c>
      <c r="F121" s="644" t="str">
        <f t="shared" ca="1" si="41"/>
        <v>HP_</v>
      </c>
      <c r="G121" s="644" t="str">
        <f t="shared" ca="1" si="42"/>
        <v>$AD4</v>
      </c>
      <c r="H121" s="645" t="str">
        <f t="shared" ca="1" si="43"/>
        <v>HP_1!$AD4</v>
      </c>
    </row>
    <row r="122" spans="1:8" ht="30">
      <c r="A122" s="316" t="str">
        <f>HP_1!$AD$1&amp;": temp4"</f>
        <v>Test temps: temp4</v>
      </c>
      <c r="B122" s="642" t="str">
        <f>HP_1!$AD5</f>
        <v>Very high Temperature</v>
      </c>
      <c r="C122" s="643" t="str" cm="1">
        <f t="array" aca="1" ref="C122" ca="1">INDIRECT($F122&amp;C$90&amp;"!"&amp;$G122)</f>
        <v>Very high Temperature</v>
      </c>
      <c r="D122" s="643" t="str" cm="1">
        <f t="array" aca="1" ref="D122" ca="1">INDIRECT($F122&amp;D$90&amp;"!"&amp;$G122)</f>
        <v>Very high Temperature</v>
      </c>
      <c r="E122" s="329" t="str">
        <f t="shared" si="40"/>
        <v>Very high Temperature</v>
      </c>
      <c r="F122" s="644" t="str">
        <f t="shared" ca="1" si="41"/>
        <v>HP_</v>
      </c>
      <c r="G122" s="644" t="str">
        <f t="shared" ca="1" si="42"/>
        <v>$AD5</v>
      </c>
      <c r="H122" s="645" t="str">
        <f t="shared" ca="1" si="43"/>
        <v>HP_1!$AD5</v>
      </c>
    </row>
    <row r="123" spans="1:8" ht="15.75">
      <c r="A123" s="316" t="str">
        <f>HP_1!$AE$1&amp;": temp1"</f>
        <v>For HP tab: temp1</v>
      </c>
      <c r="B123" s="642" t="str">
        <f>HP_1!$AE2</f>
        <v>Low</v>
      </c>
      <c r="C123" s="643" t="str" cm="1">
        <f t="array" aca="1" ref="C123" ca="1">INDIRECT($F123&amp;C$90&amp;"!"&amp;$G123)</f>
        <v>Low</v>
      </c>
      <c r="D123" s="643" t="str" cm="1">
        <f t="array" aca="1" ref="D123" ca="1">INDIRECT($F123&amp;D$90&amp;"!"&amp;$G123)</f>
        <v>Low</v>
      </c>
      <c r="E123" s="329" t="str">
        <f t="shared" ref="E123:E126" si="44">VLOOKUP(A123,A123:D123,$K$1+1,FALSE)</f>
        <v>Low</v>
      </c>
      <c r="F123" s="644" t="str">
        <f t="shared" ref="F123:F126" ca="1" si="45">LEFT(H123,FIND("1",H123)-1)</f>
        <v>HP_</v>
      </c>
      <c r="G123" s="644" t="str">
        <f t="shared" ref="G123:G126" ca="1" si="46">RIGHT(H123,LEN(H123)-FIND("!",H123))</f>
        <v>$AE2</v>
      </c>
      <c r="H123" s="645" t="str">
        <f t="shared" ref="H123:H126" ca="1" si="47">SUBSTITUTE( _xlfn.FORMULATEXT(B123),"=","")</f>
        <v>HP_1!$AE2</v>
      </c>
    </row>
    <row r="124" spans="1:8" ht="15.75">
      <c r="A124" s="316" t="str">
        <f>HP_1!$AE$1&amp;": temp2"</f>
        <v>For HP tab: temp2</v>
      </c>
      <c r="B124" s="642" t="str">
        <f>HP_1!$AE3</f>
        <v>Medium</v>
      </c>
      <c r="C124" s="643" t="str" cm="1">
        <f t="array" aca="1" ref="C124" ca="1">INDIRECT($F124&amp;C$90&amp;"!"&amp;$G124)</f>
        <v>Medium</v>
      </c>
      <c r="D124" s="643" t="str" cm="1">
        <f t="array" aca="1" ref="D124" ca="1">INDIRECT($F124&amp;D$90&amp;"!"&amp;$G124)</f>
        <v>Medium</v>
      </c>
      <c r="E124" s="329" t="str">
        <f t="shared" si="44"/>
        <v>Medium</v>
      </c>
      <c r="F124" s="644" t="str">
        <f t="shared" ca="1" si="45"/>
        <v>HP_</v>
      </c>
      <c r="G124" s="644" t="str">
        <f t="shared" ca="1" si="46"/>
        <v>$AE3</v>
      </c>
      <c r="H124" s="645" t="str">
        <f t="shared" ca="1" si="47"/>
        <v>HP_1!$AE3</v>
      </c>
    </row>
    <row r="125" spans="1:8" ht="15.75">
      <c r="A125" s="316" t="str">
        <f>HP_1!$AE$1&amp;": temp3"</f>
        <v>For HP tab: temp3</v>
      </c>
      <c r="B125" s="642" t="str">
        <f>HP_1!$AE4</f>
        <v>High</v>
      </c>
      <c r="C125" s="643" t="str" cm="1">
        <f t="array" aca="1" ref="C125" ca="1">INDIRECT($F125&amp;C$90&amp;"!"&amp;$G125)</f>
        <v>High</v>
      </c>
      <c r="D125" s="643" t="str" cm="1">
        <f t="array" aca="1" ref="D125" ca="1">INDIRECT($F125&amp;D$90&amp;"!"&amp;$G125)</f>
        <v>High</v>
      </c>
      <c r="E125" s="329" t="str">
        <f t="shared" si="44"/>
        <v>High</v>
      </c>
      <c r="F125" s="644" t="str">
        <f t="shared" ca="1" si="45"/>
        <v>HP_</v>
      </c>
      <c r="G125" s="644" t="str">
        <f t="shared" ca="1" si="46"/>
        <v>$AE4</v>
      </c>
      <c r="H125" s="645" t="str">
        <f t="shared" ca="1" si="47"/>
        <v>HP_1!$AE4</v>
      </c>
    </row>
    <row r="126" spans="1:8" ht="15.75">
      <c r="A126" s="316" t="str">
        <f>HP_1!$AE$1&amp;": temp4"</f>
        <v>For HP tab: temp4</v>
      </c>
      <c r="B126" s="642" t="str">
        <f>HP_1!$AE5</f>
        <v>Very high</v>
      </c>
      <c r="C126" s="643" t="str" cm="1">
        <f t="array" aca="1" ref="C126" ca="1">INDIRECT($F126&amp;C$90&amp;"!"&amp;$G126)</f>
        <v>Very high</v>
      </c>
      <c r="D126" s="643" t="str" cm="1">
        <f t="array" aca="1" ref="D126" ca="1">INDIRECT($F126&amp;D$90&amp;"!"&amp;$G126)</f>
        <v>Very high</v>
      </c>
      <c r="E126" s="329" t="str">
        <f t="shared" si="44"/>
        <v>Very high</v>
      </c>
      <c r="F126" s="644" t="str">
        <f t="shared" ca="1" si="45"/>
        <v>HP_</v>
      </c>
      <c r="G126" s="644" t="str">
        <f t="shared" ca="1" si="46"/>
        <v>$AE5</v>
      </c>
      <c r="H126" s="645" t="str">
        <f t="shared" ca="1" si="47"/>
        <v>HP_1!$AE5</v>
      </c>
    </row>
    <row r="127" spans="1:8" ht="15.75">
      <c r="A127" s="316" t="str">
        <f>HP_1!B38</f>
        <v>High Temperature</v>
      </c>
      <c r="B127" s="649" t="str">
        <f>HP_1!C38</f>
        <v>Yes</v>
      </c>
      <c r="C127" s="643" t="str" cm="1">
        <f t="array" aca="1" ref="C127" ca="1">INDIRECT($F127&amp;C$90&amp;"!"&amp;$G127)</f>
        <v>Yes</v>
      </c>
      <c r="D127" s="643" t="str" cm="1">
        <f t="array" aca="1" ref="D127" ca="1">INDIRECT($F127&amp;D$90&amp;"!"&amp;$G127)</f>
        <v>Yes</v>
      </c>
      <c r="E127" s="332" t="str">
        <f t="shared" ref="E127" si="48">VLOOKUP(A127,A127:D127,$K$1+1,FALSE)</f>
        <v>Yes</v>
      </c>
      <c r="F127" s="644" t="str">
        <f t="shared" ref="F127" ca="1" si="49">LEFT(H127,FIND("1",H127)-1)</f>
        <v>HP_</v>
      </c>
      <c r="G127" s="644" t="str">
        <f t="shared" ref="G127" ca="1" si="50">RIGHT(H127,LEN(H127)-FIND("!",H127))</f>
        <v>C38</v>
      </c>
      <c r="H127" s="645" t="str">
        <f t="shared" ref="H127" ca="1" si="51">SUBSTITUTE( _xlfn.FORMULATEXT(B127),"=","")</f>
        <v>HP_1!C38</v>
      </c>
    </row>
    <row r="128" spans="1:8" ht="15.75">
      <c r="A128" s="316" t="str">
        <f>HP_1!B39</f>
        <v>Low Temperature</v>
      </c>
      <c r="B128" s="649" t="str">
        <f>HP_1!C39</f>
        <v>No</v>
      </c>
      <c r="C128" s="643" t="str" cm="1">
        <f t="array" aca="1" ref="C128" ca="1">INDIRECT($F128&amp;C$90&amp;"!"&amp;$G128)</f>
        <v>No</v>
      </c>
      <c r="D128" s="643" t="str" cm="1">
        <f t="array" aca="1" ref="D128" ca="1">INDIRECT($F128&amp;D$90&amp;"!"&amp;$G128)</f>
        <v>No</v>
      </c>
      <c r="E128" s="327" t="str">
        <f t="shared" si="40"/>
        <v>No</v>
      </c>
      <c r="F128" s="644" t="str">
        <f t="shared" ca="1" si="41"/>
        <v>HP_</v>
      </c>
      <c r="G128" s="644" t="str">
        <f t="shared" ca="1" si="42"/>
        <v>C39</v>
      </c>
      <c r="H128" s="645" t="str">
        <f t="shared" ca="1" si="43"/>
        <v>HP_1!C39</v>
      </c>
    </row>
    <row r="129" spans="1:8" ht="15.75">
      <c r="A129" s="316" t="str">
        <f>HP_1!B40</f>
        <v>Medium Temperature</v>
      </c>
      <c r="B129" s="649" t="str">
        <f>HP_1!C40</f>
        <v>No</v>
      </c>
      <c r="C129" s="643" t="str" cm="1">
        <f t="array" aca="1" ref="C129" ca="1">INDIRECT($F129&amp;C$90&amp;"!"&amp;$G129)</f>
        <v>No</v>
      </c>
      <c r="D129" s="643" t="str" cm="1">
        <f t="array" aca="1" ref="D129" ca="1">INDIRECT($F129&amp;D$90&amp;"!"&amp;$G129)</f>
        <v>No</v>
      </c>
      <c r="E129" s="327" t="str">
        <f t="shared" si="40"/>
        <v>No</v>
      </c>
      <c r="F129" s="644" t="str">
        <f t="shared" ca="1" si="41"/>
        <v>HP_</v>
      </c>
      <c r="G129" s="644" t="str">
        <f t="shared" ca="1" si="42"/>
        <v>C40</v>
      </c>
      <c r="H129" s="645" t="str">
        <f t="shared" ca="1" si="43"/>
        <v>HP_1!C40</v>
      </c>
    </row>
    <row r="130" spans="1:8" ht="15.75">
      <c r="A130" s="316" t="str">
        <f>HP_1!B41</f>
        <v>Very high Temperature</v>
      </c>
      <c r="B130" s="649" t="str">
        <f>HP_1!C41</f>
        <v>No</v>
      </c>
      <c r="C130" s="643" t="str" cm="1">
        <f t="array" aca="1" ref="C130" ca="1">INDIRECT($F130&amp;C$90&amp;"!"&amp;$G130)</f>
        <v>No</v>
      </c>
      <c r="D130" s="643" t="str" cm="1">
        <f t="array" aca="1" ref="D130" ca="1">INDIRECT($F130&amp;D$90&amp;"!"&amp;$G130)</f>
        <v>No</v>
      </c>
      <c r="E130" s="327" t="str">
        <f t="shared" si="40"/>
        <v>No</v>
      </c>
      <c r="F130" s="644" t="str">
        <f t="shared" ca="1" si="41"/>
        <v>HP_</v>
      </c>
      <c r="G130" s="644" t="str">
        <f t="shared" ca="1" si="42"/>
        <v>C41</v>
      </c>
      <c r="H130" s="645" t="str">
        <f t="shared" ca="1" si="43"/>
        <v>HP_1!C41</v>
      </c>
    </row>
    <row r="131" spans="1:8" ht="31.5">
      <c r="A131" s="316" t="str">
        <f>HP_1!B42</f>
        <v>Maximum test temperature allowed for in tests to I.S. EN 14825</v>
      </c>
      <c r="B131" s="650">
        <f>HP_1!C42</f>
        <v>55</v>
      </c>
      <c r="C131" s="643" cm="1">
        <f t="array" aca="1" ref="C131" ca="1">INDIRECT($F131&amp;C$90&amp;"!"&amp;$G131)</f>
        <v>55</v>
      </c>
      <c r="D131" s="643" cm="1">
        <f t="array" aca="1" ref="D131" ca="1">INDIRECT($F131&amp;D$90&amp;"!"&amp;$G131)</f>
        <v>55</v>
      </c>
      <c r="E131" s="327">
        <f t="shared" ref="E131" si="52">VLOOKUP(A131,A131:D131,$K$1+1,FALSE)</f>
        <v>55</v>
      </c>
      <c r="F131" s="644" t="str">
        <f t="shared" ref="F131" ca="1" si="53">LEFT(H131,FIND("1",H131)-1)</f>
        <v>HP_</v>
      </c>
      <c r="G131" s="644" t="str">
        <f t="shared" ref="G131" ca="1" si="54">RIGHT(H131,LEN(H131)-FIND("!",H131))</f>
        <v>C42</v>
      </c>
      <c r="H131" s="645" t="str">
        <f t="shared" ref="H131" ca="1" si="55">SUBSTITUTE( _xlfn.FORMULATEXT(B131),"=","")</f>
        <v>HP_1!C42</v>
      </c>
    </row>
    <row r="132" spans="1:8" ht="45">
      <c r="A132" s="316" t="str">
        <f>HP_1!D10</f>
        <v xml:space="preserve">Is this a Low Temperature Heat Pump? </v>
      </c>
      <c r="B132" s="642" t="str">
        <f>HP_1!G10</f>
        <v>Not low temperature heat pump</v>
      </c>
      <c r="C132" s="643" t="str" cm="1">
        <f t="array" aca="1" ref="C132" ca="1">INDIRECT($F132&amp;C$90&amp;"!"&amp;$G132)</f>
        <v>Not low temperature heat pump</v>
      </c>
      <c r="D132" s="643" t="str" cm="1">
        <f t="array" aca="1" ref="D132" ca="1">INDIRECT($F132&amp;D$90&amp;"!"&amp;$G132)</f>
        <v>Not low temperature heat pump</v>
      </c>
      <c r="E132" s="329" t="str">
        <f t="shared" si="40"/>
        <v>Not low temperature heat pump</v>
      </c>
      <c r="F132" s="644" t="str">
        <f t="shared" ca="1" si="41"/>
        <v>HP_</v>
      </c>
      <c r="G132" s="644" t="str">
        <f t="shared" ca="1" si="42"/>
        <v>G10</v>
      </c>
      <c r="H132" s="645" t="str">
        <f t="shared" ca="1" si="43"/>
        <v>HP_1!G10</v>
      </c>
    </row>
    <row r="133" spans="1:8" ht="15.75">
      <c r="A133" s="316" t="str">
        <f>HP_1!D11</f>
        <v xml:space="preserve">Is this heat pump electric or gas (GAHP)? </v>
      </c>
      <c r="B133" s="642" t="str">
        <f>HP_1!G11</f>
        <v>Electricity</v>
      </c>
      <c r="C133" s="643" t="str" cm="1">
        <f t="array" aca="1" ref="C133" ca="1">INDIRECT($F133&amp;C$90&amp;"!"&amp;$G133)</f>
        <v>Electricity</v>
      </c>
      <c r="D133" s="643" t="str" cm="1">
        <f t="array" aca="1" ref="D133" ca="1">INDIRECT($F133&amp;D$90&amp;"!"&amp;$G133)</f>
        <v>Electricity</v>
      </c>
      <c r="E133" s="329" t="str">
        <f t="shared" si="40"/>
        <v>Electricity</v>
      </c>
      <c r="F133" s="644" t="str">
        <f t="shared" ca="1" si="41"/>
        <v>HP_</v>
      </c>
      <c r="G133" s="644" t="str">
        <f t="shared" ca="1" si="42"/>
        <v>G11</v>
      </c>
      <c r="H133" s="645" t="str">
        <f t="shared" ca="1" si="43"/>
        <v>HP_1!G11</v>
      </c>
    </row>
    <row r="134" spans="1:8" ht="60">
      <c r="A134" s="316" t="str">
        <f>HP_1!D12</f>
        <v>What is the status of this heat pump regarding Ecodesign data?</v>
      </c>
      <c r="B134" s="651" t="str">
        <f>HP_1!G12</f>
        <v>Ecodesign applies and/or ecodesign data available</v>
      </c>
      <c r="C134" s="643" t="str" cm="1">
        <f t="array" aca="1" ref="C134" ca="1">INDIRECT($F134&amp;C$90&amp;"!"&amp;$G134)</f>
        <v>Ecodesign applies and/or ecodesign data available</v>
      </c>
      <c r="D134" s="643" t="str" cm="1">
        <f t="array" aca="1" ref="D134" ca="1">INDIRECT($F134&amp;D$90&amp;"!"&amp;$G134)</f>
        <v>Ecodesign applies and/or ecodesign data available</v>
      </c>
      <c r="E134" s="329" t="str">
        <f t="shared" si="40"/>
        <v>Ecodesign applies and/or ecodesign data available</v>
      </c>
      <c r="F134" s="644" t="str">
        <f t="shared" ca="1" si="41"/>
        <v>HP_</v>
      </c>
      <c r="G134" s="644" t="str">
        <f t="shared" ca="1" si="42"/>
        <v>G12</v>
      </c>
      <c r="H134" s="645" t="str">
        <f t="shared" ca="1" si="43"/>
        <v>HP_1!G12</v>
      </c>
    </row>
    <row r="135" spans="1:8" ht="15.75">
      <c r="A135" s="316" t="str">
        <f>HP_1!A69</f>
        <v>Output from Main Water Heater</v>
      </c>
      <c r="B135" s="646">
        <f>HP_1!B69</f>
        <v>0</v>
      </c>
      <c r="C135" s="643" cm="1">
        <f t="array" aca="1" ref="C135" ca="1">INDIRECT($F135&amp;C$90&amp;"!"&amp;$G135)</f>
        <v>0</v>
      </c>
      <c r="D135" s="643" cm="1">
        <f t="array" aca="1" ref="D135" ca="1">INDIRECT($F135&amp;D$90&amp;"!"&amp;$G135)</f>
        <v>0</v>
      </c>
      <c r="E135" s="328">
        <f t="shared" si="40"/>
        <v>0</v>
      </c>
      <c r="F135" s="644" t="str">
        <f t="shared" ca="1" si="41"/>
        <v>HP_</v>
      </c>
      <c r="G135" s="644" t="str">
        <f t="shared" ca="1" si="42"/>
        <v>B69</v>
      </c>
      <c r="H135" s="645" t="str">
        <f t="shared" ca="1" si="43"/>
        <v>HP_1!B69</v>
      </c>
    </row>
    <row r="136" spans="1:8" ht="15.75">
      <c r="A136" s="323" t="str">
        <f>HP_1!G111</f>
        <v>Exhaust Air Flow Rate (m3/hr)</v>
      </c>
      <c r="B136" s="646">
        <f>HP_1!G112</f>
        <v>0</v>
      </c>
      <c r="C136" s="643" cm="1">
        <f t="array" aca="1" ref="C136" ca="1">INDIRECT($F136&amp;C$90&amp;"!"&amp;$G136)</f>
        <v>0</v>
      </c>
      <c r="D136" s="643" cm="1">
        <f t="array" aca="1" ref="D136" ca="1">INDIRECT($F136&amp;D$90&amp;"!"&amp;$G136)</f>
        <v>0</v>
      </c>
      <c r="E136" s="327">
        <f t="shared" ref="E136" si="56">VLOOKUP(A136,A136:D136,$K$1+1,FALSE)</f>
        <v>0</v>
      </c>
      <c r="F136" s="644" t="str">
        <f t="shared" ref="F136" ca="1" si="57">LEFT(H136,FIND("1",H136)-1)</f>
        <v>HP_</v>
      </c>
      <c r="G136" s="644" t="str">
        <f t="shared" ref="G136" ca="1" si="58">RIGHT(H136,LEN(H136)-FIND("!",H136))</f>
        <v>G112</v>
      </c>
      <c r="H136" s="645" t="str">
        <f t="shared" ref="H136" ca="1" si="59">SUBSTITUTE( _xlfn.FORMULATEXT(B136),"=","")</f>
        <v>HP_1!G112</v>
      </c>
    </row>
    <row r="137" spans="1:8" ht="15.75">
      <c r="A137" s="316" t="str">
        <f>"Cdh placeholder"&amp;A128</f>
        <v>Cdh placeholderLow Temperature</v>
      </c>
      <c r="B137" s="642" t="s">
        <v>558</v>
      </c>
      <c r="C137" s="643" t="e" cm="1">
        <f t="array" aca="1" ref="C137" ca="1">INDIRECT($F137&amp;C$90&amp;"!"&amp;$G137)</f>
        <v>#N/A</v>
      </c>
      <c r="D137" s="643" t="e" cm="1">
        <f t="array" aca="1" ref="D137" ca="1">INDIRECT($F137&amp;D$90&amp;"!"&amp;$G137)</f>
        <v>#N/A</v>
      </c>
      <c r="E137" s="327" t="str">
        <f t="shared" ref="E137" si="60">VLOOKUP(A137,A137:D137,$K$1+1,FALSE)</f>
        <v>placeholder</v>
      </c>
      <c r="F137" s="644" t="e">
        <f t="shared" ref="F137" ca="1" si="61">LEFT(H137,FIND("1",H137)-1)</f>
        <v>#N/A</v>
      </c>
      <c r="G137" s="644" t="e">
        <f t="shared" ref="G137" ca="1" si="62">RIGHT(H137,LEN(H137)-FIND("!",H137))</f>
        <v>#N/A</v>
      </c>
      <c r="H137" s="645" t="e">
        <f t="shared" ref="H137" ca="1" si="63">SUBSTITUTE( _xlfn.FORMULATEXT(B137),"=","")</f>
        <v>#N/A</v>
      </c>
    </row>
    <row r="138" spans="1:8" ht="15.75">
      <c r="A138" s="316" t="str">
        <f>"Cdh placeholder"&amp;A129</f>
        <v>Cdh placeholderMedium Temperature</v>
      </c>
      <c r="B138" s="642" t="s">
        <v>558</v>
      </c>
      <c r="C138" s="643" t="e" cm="1">
        <f t="array" aca="1" ref="C138" ca="1">INDIRECT($F138&amp;C$90&amp;"!"&amp;$G138)</f>
        <v>#N/A</v>
      </c>
      <c r="D138" s="643" t="e" cm="1">
        <f t="array" aca="1" ref="D138" ca="1">INDIRECT($F138&amp;D$90&amp;"!"&amp;$G138)</f>
        <v>#N/A</v>
      </c>
      <c r="E138" s="327" t="str">
        <f t="shared" ref="E138:E150" si="64">VLOOKUP(A138,A138:D138,$K$1+1,FALSE)</f>
        <v>placeholder</v>
      </c>
      <c r="F138" s="644" t="e">
        <f t="shared" ref="F138:F150" ca="1" si="65">LEFT(H138,FIND("1",H138)-1)</f>
        <v>#N/A</v>
      </c>
      <c r="G138" s="644" t="e">
        <f t="shared" ref="G138:G150" ca="1" si="66">RIGHT(H138,LEN(H138)-FIND("!",H138))</f>
        <v>#N/A</v>
      </c>
      <c r="H138" s="645" t="e">
        <f t="shared" ref="H138:H150" ca="1" si="67">SUBSTITUTE( _xlfn.FORMULATEXT(B138),"=","")</f>
        <v>#N/A</v>
      </c>
    </row>
    <row r="139" spans="1:8" ht="15.75">
      <c r="A139" s="316" t="str">
        <f>"Cdh placeholder"&amp;A127</f>
        <v>Cdh placeholderHigh Temperature</v>
      </c>
      <c r="B139" s="642" t="s">
        <v>558</v>
      </c>
      <c r="C139" s="643" t="e" cm="1">
        <f t="array" aca="1" ref="C139" ca="1">INDIRECT($F139&amp;C$90&amp;"!"&amp;$G139)</f>
        <v>#N/A</v>
      </c>
      <c r="D139" s="643" t="e" cm="1">
        <f t="array" aca="1" ref="D139" ca="1">INDIRECT($F139&amp;D$90&amp;"!"&amp;$G139)</f>
        <v>#N/A</v>
      </c>
      <c r="E139" s="327" t="str">
        <f t="shared" si="64"/>
        <v>placeholder</v>
      </c>
      <c r="F139" s="644" t="e">
        <f t="shared" ca="1" si="65"/>
        <v>#N/A</v>
      </c>
      <c r="G139" s="644" t="e">
        <f t="shared" ca="1" si="66"/>
        <v>#N/A</v>
      </c>
      <c r="H139" s="645" t="e">
        <f t="shared" ca="1" si="67"/>
        <v>#N/A</v>
      </c>
    </row>
    <row r="140" spans="1:8" ht="15.75">
      <c r="A140" s="316" t="str">
        <f>"Cdh placeholder"&amp;A130</f>
        <v>Cdh placeholderVery high Temperature</v>
      </c>
      <c r="B140" s="642" t="s">
        <v>558</v>
      </c>
      <c r="C140" s="643" t="e" cm="1">
        <f t="array" aca="1" ref="C140" ca="1">INDIRECT($F140&amp;C$90&amp;"!"&amp;$G140)</f>
        <v>#N/A</v>
      </c>
      <c r="D140" s="643" t="e" cm="1">
        <f t="array" aca="1" ref="D140" ca="1">INDIRECT($F140&amp;D$90&amp;"!"&amp;$G140)</f>
        <v>#N/A</v>
      </c>
      <c r="E140" s="327" t="str">
        <f t="shared" si="64"/>
        <v>placeholder</v>
      </c>
      <c r="F140" s="644" t="e">
        <f t="shared" ca="1" si="65"/>
        <v>#N/A</v>
      </c>
      <c r="G140" s="644" t="e">
        <f t="shared" ca="1" si="66"/>
        <v>#N/A</v>
      </c>
      <c r="H140" s="645" t="e">
        <f t="shared" ca="1" si="67"/>
        <v>#N/A</v>
      </c>
    </row>
    <row r="141" spans="1:8" ht="15.75">
      <c r="A141" s="316" t="s">
        <v>558</v>
      </c>
      <c r="B141" s="642" t="s">
        <v>558</v>
      </c>
      <c r="C141" s="643" t="e" cm="1">
        <f t="array" aca="1" ref="C141" ca="1">INDIRECT($F141&amp;C$90&amp;"!"&amp;$G141)</f>
        <v>#N/A</v>
      </c>
      <c r="D141" s="643" t="e" cm="1">
        <f t="array" aca="1" ref="D141" ca="1">INDIRECT($F141&amp;D$90&amp;"!"&amp;$G141)</f>
        <v>#N/A</v>
      </c>
      <c r="E141" s="327" t="str">
        <f t="shared" si="64"/>
        <v>placeholder</v>
      </c>
      <c r="F141" s="644" t="e">
        <f t="shared" ca="1" si="65"/>
        <v>#N/A</v>
      </c>
      <c r="G141" s="644" t="e">
        <f t="shared" ca="1" si="66"/>
        <v>#N/A</v>
      </c>
      <c r="H141" s="645" t="e">
        <f t="shared" ca="1" si="67"/>
        <v>#N/A</v>
      </c>
    </row>
    <row r="142" spans="1:8" ht="15.75">
      <c r="A142" s="316" t="s">
        <v>558</v>
      </c>
      <c r="B142" s="642" t="s">
        <v>558</v>
      </c>
      <c r="C142" s="643" t="e" cm="1">
        <f t="array" aca="1" ref="C142" ca="1">INDIRECT($F142&amp;C$90&amp;"!"&amp;$G142)</f>
        <v>#N/A</v>
      </c>
      <c r="D142" s="643" t="e" cm="1">
        <f t="array" aca="1" ref="D142" ca="1">INDIRECT($F142&amp;D$90&amp;"!"&amp;$G142)</f>
        <v>#N/A</v>
      </c>
      <c r="E142" s="327" t="str">
        <f t="shared" si="64"/>
        <v>placeholder</v>
      </c>
      <c r="F142" s="644" t="e">
        <f t="shared" ca="1" si="65"/>
        <v>#N/A</v>
      </c>
      <c r="G142" s="644" t="e">
        <f t="shared" ca="1" si="66"/>
        <v>#N/A</v>
      </c>
      <c r="H142" s="645" t="e">
        <f t="shared" ca="1" si="67"/>
        <v>#N/A</v>
      </c>
    </row>
    <row r="143" spans="1:8" ht="15.75">
      <c r="A143" s="316" t="s">
        <v>558</v>
      </c>
      <c r="B143" s="642" t="s">
        <v>558</v>
      </c>
      <c r="C143" s="643" t="e" cm="1">
        <f t="array" aca="1" ref="C143" ca="1">INDIRECT($F143&amp;C$90&amp;"!"&amp;$G143)</f>
        <v>#N/A</v>
      </c>
      <c r="D143" s="643" t="e" cm="1">
        <f t="array" aca="1" ref="D143" ca="1">INDIRECT($F143&amp;D$90&amp;"!"&amp;$G143)</f>
        <v>#N/A</v>
      </c>
      <c r="E143" s="327" t="str">
        <f t="shared" si="64"/>
        <v>placeholder</v>
      </c>
      <c r="F143" s="644" t="e">
        <f t="shared" ca="1" si="65"/>
        <v>#N/A</v>
      </c>
      <c r="G143" s="644" t="e">
        <f t="shared" ca="1" si="66"/>
        <v>#N/A</v>
      </c>
      <c r="H143" s="645" t="e">
        <f t="shared" ca="1" si="67"/>
        <v>#N/A</v>
      </c>
    </row>
    <row r="144" spans="1:8" ht="15.75">
      <c r="A144" s="316" t="s">
        <v>558</v>
      </c>
      <c r="B144" s="642" t="s">
        <v>558</v>
      </c>
      <c r="C144" s="643" t="e" cm="1">
        <f t="array" aca="1" ref="C144" ca="1">INDIRECT($F144&amp;C$90&amp;"!"&amp;$G144)</f>
        <v>#N/A</v>
      </c>
      <c r="D144" s="643" t="e" cm="1">
        <f t="array" aca="1" ref="D144" ca="1">INDIRECT($F144&amp;D$90&amp;"!"&amp;$G144)</f>
        <v>#N/A</v>
      </c>
      <c r="E144" s="327" t="str">
        <f t="shared" si="64"/>
        <v>placeholder</v>
      </c>
      <c r="F144" s="644" t="e">
        <f t="shared" ca="1" si="65"/>
        <v>#N/A</v>
      </c>
      <c r="G144" s="644" t="e">
        <f t="shared" ca="1" si="66"/>
        <v>#N/A</v>
      </c>
      <c r="H144" s="645" t="e">
        <f t="shared" ca="1" si="67"/>
        <v>#N/A</v>
      </c>
    </row>
    <row r="145" spans="1:37" ht="15.75">
      <c r="A145" s="316" t="s">
        <v>558</v>
      </c>
      <c r="B145" s="642" t="s">
        <v>558</v>
      </c>
      <c r="C145" s="643" t="e" cm="1">
        <f t="array" aca="1" ref="C145" ca="1">INDIRECT($F145&amp;C$90&amp;"!"&amp;$G145)</f>
        <v>#N/A</v>
      </c>
      <c r="D145" s="643" t="e" cm="1">
        <f t="array" aca="1" ref="D145" ca="1">INDIRECT($F145&amp;D$90&amp;"!"&amp;$G145)</f>
        <v>#N/A</v>
      </c>
      <c r="E145" s="327" t="str">
        <f t="shared" si="64"/>
        <v>placeholder</v>
      </c>
      <c r="F145" s="644" t="e">
        <f t="shared" ca="1" si="65"/>
        <v>#N/A</v>
      </c>
      <c r="G145" s="644" t="e">
        <f t="shared" ca="1" si="66"/>
        <v>#N/A</v>
      </c>
      <c r="H145" s="645" t="e">
        <f t="shared" ca="1" si="67"/>
        <v>#N/A</v>
      </c>
    </row>
    <row r="146" spans="1:37" ht="15.75">
      <c r="A146" s="316" t="s">
        <v>558</v>
      </c>
      <c r="B146" s="642" t="s">
        <v>558</v>
      </c>
      <c r="C146" s="643" t="e" cm="1">
        <f t="array" aca="1" ref="C146" ca="1">INDIRECT($F146&amp;C$90&amp;"!"&amp;$G146)</f>
        <v>#N/A</v>
      </c>
      <c r="D146" s="643" t="e" cm="1">
        <f t="array" aca="1" ref="D146" ca="1">INDIRECT($F146&amp;D$90&amp;"!"&amp;$G146)</f>
        <v>#N/A</v>
      </c>
      <c r="E146" s="327" t="str">
        <f t="shared" si="64"/>
        <v>placeholder</v>
      </c>
      <c r="F146" s="644" t="e">
        <f t="shared" ca="1" si="65"/>
        <v>#N/A</v>
      </c>
      <c r="G146" s="644" t="e">
        <f t="shared" ca="1" si="66"/>
        <v>#N/A</v>
      </c>
      <c r="H146" s="645" t="e">
        <f t="shared" ca="1" si="67"/>
        <v>#N/A</v>
      </c>
    </row>
    <row r="147" spans="1:37" ht="15.75">
      <c r="A147" s="316" t="s">
        <v>558</v>
      </c>
      <c r="B147" s="642" t="s">
        <v>558</v>
      </c>
      <c r="C147" s="643" t="e" cm="1">
        <f t="array" aca="1" ref="C147" ca="1">INDIRECT($F147&amp;C$90&amp;"!"&amp;$G147)</f>
        <v>#N/A</v>
      </c>
      <c r="D147" s="643" t="e" cm="1">
        <f t="array" aca="1" ref="D147" ca="1">INDIRECT($F147&amp;D$90&amp;"!"&amp;$G147)</f>
        <v>#N/A</v>
      </c>
      <c r="E147" s="327" t="str">
        <f t="shared" si="64"/>
        <v>placeholder</v>
      </c>
      <c r="F147" s="644" t="e">
        <f t="shared" ca="1" si="65"/>
        <v>#N/A</v>
      </c>
      <c r="G147" s="644" t="e">
        <f t="shared" ca="1" si="66"/>
        <v>#N/A</v>
      </c>
      <c r="H147" s="645" t="e">
        <f t="shared" ca="1" si="67"/>
        <v>#N/A</v>
      </c>
    </row>
    <row r="148" spans="1:37" ht="15.75">
      <c r="A148" s="316" t="s">
        <v>558</v>
      </c>
      <c r="B148" s="642" t="s">
        <v>558</v>
      </c>
      <c r="C148" s="643" t="e" cm="1">
        <f t="array" aca="1" ref="C148" ca="1">INDIRECT($F148&amp;C$90&amp;"!"&amp;$G148)</f>
        <v>#N/A</v>
      </c>
      <c r="D148" s="643" t="e" cm="1">
        <f t="array" aca="1" ref="D148" ca="1">INDIRECT($F148&amp;D$90&amp;"!"&amp;$G148)</f>
        <v>#N/A</v>
      </c>
      <c r="E148" s="327" t="str">
        <f t="shared" si="64"/>
        <v>placeholder</v>
      </c>
      <c r="F148" s="644" t="e">
        <f t="shared" ca="1" si="65"/>
        <v>#N/A</v>
      </c>
      <c r="G148" s="644" t="e">
        <f t="shared" ca="1" si="66"/>
        <v>#N/A</v>
      </c>
      <c r="H148" s="645" t="e">
        <f t="shared" ca="1" si="67"/>
        <v>#N/A</v>
      </c>
    </row>
    <row r="149" spans="1:37" ht="15.75">
      <c r="A149" s="316" t="s">
        <v>558</v>
      </c>
      <c r="B149" s="642" t="s">
        <v>558</v>
      </c>
      <c r="C149" s="643" t="e" cm="1">
        <f t="array" aca="1" ref="C149" ca="1">INDIRECT($F149&amp;C$90&amp;"!"&amp;$G149)</f>
        <v>#N/A</v>
      </c>
      <c r="D149" s="643" t="e" cm="1">
        <f t="array" aca="1" ref="D149" ca="1">INDIRECT($F149&amp;D$90&amp;"!"&amp;$G149)</f>
        <v>#N/A</v>
      </c>
      <c r="E149" s="327" t="str">
        <f t="shared" si="64"/>
        <v>placeholder</v>
      </c>
      <c r="F149" s="644" t="e">
        <f t="shared" ca="1" si="65"/>
        <v>#N/A</v>
      </c>
      <c r="G149" s="644" t="e">
        <f t="shared" ca="1" si="66"/>
        <v>#N/A</v>
      </c>
      <c r="H149" s="645" t="e">
        <f t="shared" ca="1" si="67"/>
        <v>#N/A</v>
      </c>
    </row>
    <row r="150" spans="1:37" ht="16.5" thickBot="1">
      <c r="A150" s="324" t="s">
        <v>558</v>
      </c>
      <c r="B150" s="652" t="s">
        <v>558</v>
      </c>
      <c r="C150" s="653" t="e" cm="1">
        <f t="array" aca="1" ref="C150" ca="1">INDIRECT($F150&amp;C$90&amp;"!"&amp;$G150)</f>
        <v>#N/A</v>
      </c>
      <c r="D150" s="653" t="e" cm="1">
        <f t="array" aca="1" ref="D150" ca="1">INDIRECT($F150&amp;D$90&amp;"!"&amp;$G150)</f>
        <v>#N/A</v>
      </c>
      <c r="E150" s="333" t="str">
        <f t="shared" si="64"/>
        <v>placeholder</v>
      </c>
      <c r="F150" s="654" t="e">
        <f t="shared" ca="1" si="65"/>
        <v>#N/A</v>
      </c>
      <c r="G150" s="654" t="e">
        <f t="shared" ca="1" si="66"/>
        <v>#N/A</v>
      </c>
      <c r="H150" s="655" t="e">
        <f t="shared" ca="1" si="67"/>
        <v>#N/A</v>
      </c>
    </row>
    <row r="151" spans="1:37" ht="15.75">
      <c r="A151" s="656"/>
      <c r="B151" s="657" t="s">
        <v>564</v>
      </c>
      <c r="C151" s="658" t="s">
        <v>552</v>
      </c>
      <c r="D151" s="659" t="s">
        <v>552</v>
      </c>
      <c r="E151" s="659" t="s">
        <v>552</v>
      </c>
      <c r="F151" s="659" t="s">
        <v>552</v>
      </c>
      <c r="G151" s="660" t="s">
        <v>552</v>
      </c>
      <c r="H151" s="658">
        <v>1</v>
      </c>
      <c r="I151" s="659">
        <v>1</v>
      </c>
      <c r="J151" s="659">
        <v>1</v>
      </c>
      <c r="K151" s="659">
        <v>1</v>
      </c>
      <c r="L151" s="660">
        <v>1</v>
      </c>
      <c r="M151" s="658">
        <f>H151+1</f>
        <v>2</v>
      </c>
      <c r="N151" s="659">
        <f t="shared" ref="N151:Q151" si="68">I151+1</f>
        <v>2</v>
      </c>
      <c r="O151" s="659">
        <f t="shared" si="68"/>
        <v>2</v>
      </c>
      <c r="P151" s="659">
        <f t="shared" si="68"/>
        <v>2</v>
      </c>
      <c r="Q151" s="660">
        <f t="shared" si="68"/>
        <v>2</v>
      </c>
      <c r="R151" s="658">
        <f>M151+1</f>
        <v>3</v>
      </c>
      <c r="S151" s="659">
        <f t="shared" ref="S151" si="69">N151+1</f>
        <v>3</v>
      </c>
      <c r="T151" s="659">
        <f t="shared" ref="T151" si="70">O151+1</f>
        <v>3</v>
      </c>
      <c r="U151" s="659">
        <f t="shared" ref="U151" si="71">P151+1</f>
        <v>3</v>
      </c>
      <c r="V151" s="661">
        <f t="shared" ref="V151" si="72">Q151+1</f>
        <v>3</v>
      </c>
      <c r="W151" s="777" t="str">
        <f>H90</f>
        <v>Heat pump 1 source cell name as text</v>
      </c>
      <c r="X151" s="778"/>
      <c r="Y151" s="778"/>
      <c r="Z151" s="778"/>
      <c r="AA151" s="779"/>
      <c r="AB151" s="780" t="str">
        <f>F90</f>
        <v>Tab</v>
      </c>
      <c r="AC151" s="781"/>
      <c r="AD151" s="781"/>
      <c r="AE151" s="781"/>
      <c r="AF151" s="782"/>
      <c r="AG151" s="780" t="str">
        <f>G90</f>
        <v>Cell (everything to the right of the tab name)</v>
      </c>
      <c r="AH151" s="781"/>
      <c r="AI151" s="781"/>
      <c r="AJ151" s="781"/>
      <c r="AK151" s="783"/>
    </row>
    <row r="152" spans="1:37" ht="15.75">
      <c r="A152" s="662"/>
      <c r="B152" s="663" t="s">
        <v>565</v>
      </c>
      <c r="C152" s="664" t="s">
        <v>559</v>
      </c>
      <c r="D152" s="665" t="s">
        <v>560</v>
      </c>
      <c r="E152" s="665" t="s">
        <v>561</v>
      </c>
      <c r="F152" s="665" t="s">
        <v>562</v>
      </c>
      <c r="G152" s="666" t="s">
        <v>563</v>
      </c>
      <c r="H152" s="664" t="s">
        <v>559</v>
      </c>
      <c r="I152" s="665" t="s">
        <v>560</v>
      </c>
      <c r="J152" s="665" t="s">
        <v>561</v>
      </c>
      <c r="K152" s="665" t="s">
        <v>562</v>
      </c>
      <c r="L152" s="666" t="s">
        <v>563</v>
      </c>
      <c r="M152" s="664" t="s">
        <v>559</v>
      </c>
      <c r="N152" s="665" t="s">
        <v>560</v>
      </c>
      <c r="O152" s="665" t="s">
        <v>561</v>
      </c>
      <c r="P152" s="665" t="s">
        <v>562</v>
      </c>
      <c r="Q152" s="666" t="s">
        <v>563</v>
      </c>
      <c r="R152" s="664" t="s">
        <v>559</v>
      </c>
      <c r="S152" s="665" t="s">
        <v>560</v>
      </c>
      <c r="T152" s="665" t="s">
        <v>561</v>
      </c>
      <c r="U152" s="665" t="s">
        <v>562</v>
      </c>
      <c r="V152" s="667" t="s">
        <v>563</v>
      </c>
      <c r="W152" s="664" t="s">
        <v>559</v>
      </c>
      <c r="X152" s="665" t="s">
        <v>560</v>
      </c>
      <c r="Y152" s="665" t="s">
        <v>561</v>
      </c>
      <c r="Z152" s="665" t="s">
        <v>562</v>
      </c>
      <c r="AA152" s="667" t="s">
        <v>563</v>
      </c>
      <c r="AB152" s="664" t="s">
        <v>559</v>
      </c>
      <c r="AC152" s="665" t="s">
        <v>560</v>
      </c>
      <c r="AD152" s="665" t="s">
        <v>561</v>
      </c>
      <c r="AE152" s="665" t="s">
        <v>562</v>
      </c>
      <c r="AF152" s="667" t="s">
        <v>563</v>
      </c>
      <c r="AG152" s="664" t="s">
        <v>559</v>
      </c>
      <c r="AH152" s="665" t="s">
        <v>560</v>
      </c>
      <c r="AI152" s="665" t="s">
        <v>561</v>
      </c>
      <c r="AJ152" s="665" t="s">
        <v>562</v>
      </c>
      <c r="AK152" s="666" t="s">
        <v>563</v>
      </c>
    </row>
    <row r="153" spans="1:37" ht="16.5" thickBot="1">
      <c r="A153" s="668" t="s">
        <v>567</v>
      </c>
      <c r="B153" s="663" t="str">
        <f>B151&amp;B152&amp;"-&gt;"</f>
        <v>HP identifier:Bin-&gt;</v>
      </c>
      <c r="C153" s="669" t="str">
        <f>$K$1&amp;C152</f>
        <v>1A</v>
      </c>
      <c r="D153" s="670" t="str">
        <f>$K$1&amp;D152</f>
        <v>1B</v>
      </c>
      <c r="E153" s="670" t="str">
        <f>$K$1&amp;E152</f>
        <v>1C</v>
      </c>
      <c r="F153" s="670" t="str">
        <f>$K$1&amp;F152</f>
        <v>1D</v>
      </c>
      <c r="G153" s="671" t="str">
        <f>$K$1&amp;G152</f>
        <v>1E</v>
      </c>
      <c r="H153" s="669" t="str">
        <f t="shared" ref="H153:V153" si="73">H151&amp;H152</f>
        <v>1A</v>
      </c>
      <c r="I153" s="670" t="str">
        <f t="shared" si="73"/>
        <v>1B</v>
      </c>
      <c r="J153" s="670" t="str">
        <f t="shared" si="73"/>
        <v>1C</v>
      </c>
      <c r="K153" s="670" t="str">
        <f t="shared" si="73"/>
        <v>1D</v>
      </c>
      <c r="L153" s="671" t="str">
        <f t="shared" si="73"/>
        <v>1E</v>
      </c>
      <c r="M153" s="669" t="str">
        <f t="shared" si="73"/>
        <v>2A</v>
      </c>
      <c r="N153" s="670" t="str">
        <f t="shared" si="73"/>
        <v>2B</v>
      </c>
      <c r="O153" s="670" t="str">
        <f t="shared" si="73"/>
        <v>2C</v>
      </c>
      <c r="P153" s="670" t="str">
        <f t="shared" si="73"/>
        <v>2D</v>
      </c>
      <c r="Q153" s="671" t="str">
        <f t="shared" si="73"/>
        <v>2E</v>
      </c>
      <c r="R153" s="669" t="str">
        <f t="shared" si="73"/>
        <v>3A</v>
      </c>
      <c r="S153" s="670" t="str">
        <f t="shared" si="73"/>
        <v>3B</v>
      </c>
      <c r="T153" s="670" t="str">
        <f t="shared" si="73"/>
        <v>3C</v>
      </c>
      <c r="U153" s="670" t="str">
        <f t="shared" si="73"/>
        <v>3D</v>
      </c>
      <c r="V153" s="672" t="str">
        <f t="shared" si="73"/>
        <v>3E</v>
      </c>
      <c r="W153" s="669"/>
      <c r="X153" s="670"/>
      <c r="Y153" s="670"/>
      <c r="Z153" s="670"/>
      <c r="AA153" s="672"/>
      <c r="AB153" s="669"/>
      <c r="AC153" s="670"/>
      <c r="AD153" s="670"/>
      <c r="AE153" s="670"/>
      <c r="AF153" s="672"/>
      <c r="AG153" s="669"/>
      <c r="AH153" s="670"/>
      <c r="AI153" s="670"/>
      <c r="AJ153" s="670"/>
      <c r="AK153" s="671"/>
    </row>
    <row r="154" spans="1:37">
      <c r="A154" s="673" t="str">
        <f t="shared" ref="A154:A161" si="74">A19</f>
        <v>Low Temperature COP  (kW/kW)</v>
      </c>
      <c r="B154" s="674">
        <f>IF(E128="Yes",1,0)</f>
        <v>0</v>
      </c>
      <c r="C154" s="675">
        <f>$B154*INDEX($H154:$V154,1,MATCH(C$153,$H$153:$V$153,0))</f>
        <v>0</v>
      </c>
      <c r="D154" s="676">
        <f t="shared" ref="D154:G161" si="75">$B154*INDEX($H154:$V154,1,MATCH(D$153,$H$153:$V$153,0))</f>
        <v>0</v>
      </c>
      <c r="E154" s="676">
        <f t="shared" si="75"/>
        <v>0</v>
      </c>
      <c r="F154" s="676">
        <f t="shared" si="75"/>
        <v>0</v>
      </c>
      <c r="G154" s="677">
        <f t="shared" si="75"/>
        <v>0</v>
      </c>
      <c r="H154" s="678">
        <f>HP_1!C47</f>
        <v>0</v>
      </c>
      <c r="I154" s="679">
        <f>HP_1!D47</f>
        <v>0</v>
      </c>
      <c r="J154" s="679">
        <f>HP_1!E47</f>
        <v>0</v>
      </c>
      <c r="K154" s="679">
        <f>HP_1!F47</f>
        <v>0</v>
      </c>
      <c r="L154" s="680">
        <f>HP_1!G47</f>
        <v>0</v>
      </c>
      <c r="M154" s="675" cm="1">
        <f t="array" aca="1" ref="M154" ca="1">INDIRECT(AB154&amp;M$151&amp;"!"&amp;AG154)</f>
        <v>0</v>
      </c>
      <c r="N154" s="676" cm="1">
        <f t="array" aca="1" ref="N154" ca="1">INDIRECT(AC154&amp;N$151&amp;"!"&amp;AH154)</f>
        <v>0</v>
      </c>
      <c r="O154" s="676" cm="1">
        <f t="array" aca="1" ref="O154" ca="1">INDIRECT(AD154&amp;O$151&amp;"!"&amp;AI154)</f>
        <v>0</v>
      </c>
      <c r="P154" s="676" cm="1">
        <f t="array" aca="1" ref="P154" ca="1">INDIRECT(AE154&amp;P$151&amp;"!"&amp;AJ154)</f>
        <v>0</v>
      </c>
      <c r="Q154" s="677" cm="1">
        <f t="array" aca="1" ref="Q154" ca="1">INDIRECT(AF154&amp;Q$151&amp;"!"&amp;AK154)</f>
        <v>0</v>
      </c>
      <c r="R154" s="675" cm="1">
        <f t="array" aca="1" ref="R154" ca="1">INDIRECT(AB154&amp;R$151&amp;"!"&amp;AG154)</f>
        <v>0</v>
      </c>
      <c r="S154" s="676" cm="1">
        <f t="array" aca="1" ref="S154" ca="1">INDIRECT(AC154&amp;S$151&amp;"!"&amp;AH154)</f>
        <v>0</v>
      </c>
      <c r="T154" s="676" cm="1">
        <f t="array" aca="1" ref="T154" ca="1">INDIRECT(AD154&amp;T$151&amp;"!"&amp;AI154)</f>
        <v>0</v>
      </c>
      <c r="U154" s="676" cm="1">
        <f t="array" aca="1" ref="U154" ca="1">INDIRECT(AE154&amp;U$151&amp;"!"&amp;AJ154)</f>
        <v>0</v>
      </c>
      <c r="V154" s="681" cm="1">
        <f t="array" aca="1" ref="V154" ca="1">INDIRECT(AF154&amp;V$151&amp;"!"&amp;AK154)</f>
        <v>0</v>
      </c>
      <c r="W154" s="682" t="str">
        <f ca="1">SUBSTITUTE( _xlfn.FORMULATEXT(H154),"=","")</f>
        <v>HP_1!C47</v>
      </c>
      <c r="X154" s="683" t="str">
        <f ca="1">SUBSTITUTE( _xlfn.FORMULATEXT(I154),"=","")</f>
        <v>HP_1!D47</v>
      </c>
      <c r="Y154" s="683" t="str">
        <f ca="1">SUBSTITUTE( _xlfn.FORMULATEXT(J154),"=","")</f>
        <v>HP_1!E47</v>
      </c>
      <c r="Z154" s="683" t="str">
        <f ca="1">SUBSTITUTE( _xlfn.FORMULATEXT(K154),"=","")</f>
        <v>HP_1!F47</v>
      </c>
      <c r="AA154" s="684" t="str">
        <f ca="1">SUBSTITUTE( _xlfn.FORMULATEXT(L154),"=","")</f>
        <v>HP_1!G47</v>
      </c>
      <c r="AB154" s="682" t="str">
        <f ca="1">LEFT(W154,FIND("1",W154)-1)</f>
        <v>HP_</v>
      </c>
      <c r="AC154" s="683" t="str">
        <f ca="1">LEFT(X154,FIND("1",X154)-1)</f>
        <v>HP_</v>
      </c>
      <c r="AD154" s="683" t="str">
        <f ca="1">LEFT(Y154,FIND("1",Y154)-1)</f>
        <v>HP_</v>
      </c>
      <c r="AE154" s="683" t="str">
        <f ca="1">LEFT(Z154,FIND("1",Z154)-1)</f>
        <v>HP_</v>
      </c>
      <c r="AF154" s="684" t="str">
        <f ca="1">LEFT(AA154,FIND("1",AA154)-1)</f>
        <v>HP_</v>
      </c>
      <c r="AG154" s="682" t="str">
        <f ca="1">RIGHT(W154,LEN(W154)-FIND("!",W154))</f>
        <v>C47</v>
      </c>
      <c r="AH154" s="683" t="str">
        <f ca="1">RIGHT(X154,LEN(X154)-FIND("!",X154))</f>
        <v>D47</v>
      </c>
      <c r="AI154" s="683" t="str">
        <f ca="1">RIGHT(Y154,LEN(Y154)-FIND("!",Y154))</f>
        <v>E47</v>
      </c>
      <c r="AJ154" s="683" t="str">
        <f ca="1">RIGHT(Z154,LEN(Z154)-FIND("!",Z154))</f>
        <v>F47</v>
      </c>
      <c r="AK154" s="685" t="str">
        <f ca="1">RIGHT(AA154,LEN(AA154)-FIND("!",AA154))</f>
        <v>G47</v>
      </c>
    </row>
    <row r="155" spans="1:37">
      <c r="A155" s="673" t="str">
        <f t="shared" si="74"/>
        <v>Medium Temperature COP  (kW/kW)</v>
      </c>
      <c r="B155" s="674">
        <f>IF(E129="Yes",1,0)</f>
        <v>0</v>
      </c>
      <c r="C155" s="686">
        <f t="shared" ref="C155:C161" si="76">$B155*INDEX($H155:$V155,1,MATCH(C$153,$H$153:$V$153,0))</f>
        <v>0</v>
      </c>
      <c r="D155" s="687">
        <f t="shared" si="75"/>
        <v>0</v>
      </c>
      <c r="E155" s="687">
        <f t="shared" si="75"/>
        <v>0</v>
      </c>
      <c r="F155" s="687">
        <f t="shared" si="75"/>
        <v>0</v>
      </c>
      <c r="G155" s="688">
        <f t="shared" si="75"/>
        <v>0</v>
      </c>
      <c r="H155" s="689">
        <f>HP_1!C51</f>
        <v>0</v>
      </c>
      <c r="I155" s="690">
        <f>HP_1!D51</f>
        <v>0</v>
      </c>
      <c r="J155" s="690">
        <f>HP_1!E51</f>
        <v>0</v>
      </c>
      <c r="K155" s="690">
        <f>HP_1!F51</f>
        <v>0</v>
      </c>
      <c r="L155" s="691">
        <f>HP_1!G51</f>
        <v>0</v>
      </c>
      <c r="M155" s="686" cm="1">
        <f t="array" aca="1" ref="M155" ca="1">INDIRECT(AB155&amp;M$151&amp;"!"&amp;AG155)</f>
        <v>0</v>
      </c>
      <c r="N155" s="687" cm="1">
        <f t="array" aca="1" ref="N155" ca="1">INDIRECT(AC155&amp;N$151&amp;"!"&amp;AH155)</f>
        <v>0</v>
      </c>
      <c r="O155" s="687" cm="1">
        <f t="array" aca="1" ref="O155" ca="1">INDIRECT(AD155&amp;O$151&amp;"!"&amp;AI155)</f>
        <v>0</v>
      </c>
      <c r="P155" s="687" cm="1">
        <f t="array" aca="1" ref="P155" ca="1">INDIRECT(AE155&amp;P$151&amp;"!"&amp;AJ155)</f>
        <v>0</v>
      </c>
      <c r="Q155" s="688" cm="1">
        <f t="array" aca="1" ref="Q155" ca="1">INDIRECT(AF155&amp;Q$151&amp;"!"&amp;AK155)</f>
        <v>0</v>
      </c>
      <c r="R155" s="686" cm="1">
        <f t="array" aca="1" ref="R155" ca="1">INDIRECT(AB155&amp;R$151&amp;"!"&amp;AG155)</f>
        <v>0</v>
      </c>
      <c r="S155" s="687" cm="1">
        <f t="array" aca="1" ref="S155" ca="1">INDIRECT(AC155&amp;S$151&amp;"!"&amp;AH155)</f>
        <v>0</v>
      </c>
      <c r="T155" s="687" cm="1">
        <f t="array" aca="1" ref="T155" ca="1">INDIRECT(AD155&amp;T$151&amp;"!"&amp;AI155)</f>
        <v>0</v>
      </c>
      <c r="U155" s="687" cm="1">
        <f t="array" aca="1" ref="U155" ca="1">INDIRECT(AE155&amp;U$151&amp;"!"&amp;AJ155)</f>
        <v>0</v>
      </c>
      <c r="V155" s="692" cm="1">
        <f t="array" aca="1" ref="V155" ca="1">INDIRECT(AF155&amp;V$151&amp;"!"&amp;AK155)</f>
        <v>0</v>
      </c>
      <c r="W155" s="693" t="str">
        <f t="shared" ref="W155:W161" ca="1" si="77">SUBSTITUTE( _xlfn.FORMULATEXT(H155),"=","")</f>
        <v>HP_1!C51</v>
      </c>
      <c r="X155" s="694" t="str">
        <f t="shared" ref="X155:X161" ca="1" si="78">SUBSTITUTE( _xlfn.FORMULATEXT(I155),"=","")</f>
        <v>HP_1!D51</v>
      </c>
      <c r="Y155" s="694" t="str">
        <f t="shared" ref="Y155:Y161" ca="1" si="79">SUBSTITUTE( _xlfn.FORMULATEXT(J155),"=","")</f>
        <v>HP_1!E51</v>
      </c>
      <c r="Z155" s="694" t="str">
        <f t="shared" ref="Z155:Z161" ca="1" si="80">SUBSTITUTE( _xlfn.FORMULATEXT(K155),"=","")</f>
        <v>HP_1!F51</v>
      </c>
      <c r="AA155" s="695" t="str">
        <f t="shared" ref="AA155:AA161" ca="1" si="81">SUBSTITUTE( _xlfn.FORMULATEXT(L155),"=","")</f>
        <v>HP_1!G51</v>
      </c>
      <c r="AB155" s="693" t="str">
        <f t="shared" ref="AB155:AB161" ca="1" si="82">LEFT(W155,FIND("1",W155)-1)</f>
        <v>HP_</v>
      </c>
      <c r="AC155" s="694" t="str">
        <f t="shared" ref="AC155:AC161" ca="1" si="83">LEFT(X155,FIND("1",X155)-1)</f>
        <v>HP_</v>
      </c>
      <c r="AD155" s="694" t="str">
        <f t="shared" ref="AD155:AD161" ca="1" si="84">LEFT(Y155,FIND("1",Y155)-1)</f>
        <v>HP_</v>
      </c>
      <c r="AE155" s="694" t="str">
        <f t="shared" ref="AE155:AE161" ca="1" si="85">LEFT(Z155,FIND("1",Z155)-1)</f>
        <v>HP_</v>
      </c>
      <c r="AF155" s="695" t="str">
        <f t="shared" ref="AF155:AF161" ca="1" si="86">LEFT(AA155,FIND("1",AA155)-1)</f>
        <v>HP_</v>
      </c>
      <c r="AG155" s="693" t="str">
        <f t="shared" ref="AG155:AG161" ca="1" si="87">RIGHT(W155,LEN(W155)-FIND("!",W155))</f>
        <v>C51</v>
      </c>
      <c r="AH155" s="694" t="str">
        <f t="shared" ref="AH155:AH161" ca="1" si="88">RIGHT(X155,LEN(X155)-FIND("!",X155))</f>
        <v>D51</v>
      </c>
      <c r="AI155" s="694" t="str">
        <f t="shared" ref="AI155:AI161" ca="1" si="89">RIGHT(Y155,LEN(Y155)-FIND("!",Y155))</f>
        <v>E51</v>
      </c>
      <c r="AJ155" s="694" t="str">
        <f t="shared" ref="AJ155:AJ161" ca="1" si="90">RIGHT(Z155,LEN(Z155)-FIND("!",Z155))</f>
        <v>F51</v>
      </c>
      <c r="AK155" s="696" t="str">
        <f t="shared" ref="AK155:AK161" ca="1" si="91">RIGHT(AA155,LEN(AA155)-FIND("!",AA155))</f>
        <v>G51</v>
      </c>
    </row>
    <row r="156" spans="1:37">
      <c r="A156" s="673" t="str">
        <f t="shared" si="74"/>
        <v>High Temperature COP  (kW/kW)</v>
      </c>
      <c r="B156" s="674">
        <f>IF(E127="Yes",1,0)</f>
        <v>1</v>
      </c>
      <c r="C156" s="686">
        <f t="shared" si="76"/>
        <v>0</v>
      </c>
      <c r="D156" s="687">
        <f t="shared" si="75"/>
        <v>0</v>
      </c>
      <c r="E156" s="687">
        <f t="shared" si="75"/>
        <v>0</v>
      </c>
      <c r="F156" s="687">
        <f t="shared" si="75"/>
        <v>0</v>
      </c>
      <c r="G156" s="688">
        <f t="shared" si="75"/>
        <v>0</v>
      </c>
      <c r="H156" s="689">
        <f>HP_1!C55</f>
        <v>0</v>
      </c>
      <c r="I156" s="690">
        <f>HP_1!D55</f>
        <v>0</v>
      </c>
      <c r="J156" s="690">
        <f>HP_1!E55</f>
        <v>0</v>
      </c>
      <c r="K156" s="690">
        <f>HP_1!F55</f>
        <v>0</v>
      </c>
      <c r="L156" s="691">
        <f>HP_1!G55</f>
        <v>0</v>
      </c>
      <c r="M156" s="686" cm="1">
        <f t="array" aca="1" ref="M156" ca="1">INDIRECT(AB156&amp;M$151&amp;"!"&amp;AG156)</f>
        <v>0</v>
      </c>
      <c r="N156" s="687" cm="1">
        <f t="array" aca="1" ref="N156" ca="1">INDIRECT(AC156&amp;N$151&amp;"!"&amp;AH156)</f>
        <v>0</v>
      </c>
      <c r="O156" s="687" cm="1">
        <f t="array" aca="1" ref="O156" ca="1">INDIRECT(AD156&amp;O$151&amp;"!"&amp;AI156)</f>
        <v>0</v>
      </c>
      <c r="P156" s="687" cm="1">
        <f t="array" aca="1" ref="P156" ca="1">INDIRECT(AE156&amp;P$151&amp;"!"&amp;AJ156)</f>
        <v>0</v>
      </c>
      <c r="Q156" s="688" cm="1">
        <f t="array" aca="1" ref="Q156" ca="1">INDIRECT(AF156&amp;Q$151&amp;"!"&amp;AK156)</f>
        <v>0</v>
      </c>
      <c r="R156" s="686" cm="1">
        <f t="array" aca="1" ref="R156" ca="1">INDIRECT(AB156&amp;R$151&amp;"!"&amp;AG156)</f>
        <v>0</v>
      </c>
      <c r="S156" s="687" cm="1">
        <f t="array" aca="1" ref="S156" ca="1">INDIRECT(AC156&amp;S$151&amp;"!"&amp;AH156)</f>
        <v>0</v>
      </c>
      <c r="T156" s="687" cm="1">
        <f t="array" aca="1" ref="T156" ca="1">INDIRECT(AD156&amp;T$151&amp;"!"&amp;AI156)</f>
        <v>0</v>
      </c>
      <c r="U156" s="687" cm="1">
        <f t="array" aca="1" ref="U156" ca="1">INDIRECT(AE156&amp;U$151&amp;"!"&amp;AJ156)</f>
        <v>0</v>
      </c>
      <c r="V156" s="692" cm="1">
        <f t="array" aca="1" ref="V156" ca="1">INDIRECT(AF156&amp;V$151&amp;"!"&amp;AK156)</f>
        <v>0</v>
      </c>
      <c r="W156" s="693" t="str">
        <f t="shared" ca="1" si="77"/>
        <v>HP_1!C55</v>
      </c>
      <c r="X156" s="694" t="str">
        <f t="shared" ca="1" si="78"/>
        <v>HP_1!D55</v>
      </c>
      <c r="Y156" s="694" t="str">
        <f t="shared" ca="1" si="79"/>
        <v>HP_1!E55</v>
      </c>
      <c r="Z156" s="694" t="str">
        <f t="shared" ca="1" si="80"/>
        <v>HP_1!F55</v>
      </c>
      <c r="AA156" s="695" t="str">
        <f t="shared" ca="1" si="81"/>
        <v>HP_1!G55</v>
      </c>
      <c r="AB156" s="693" t="str">
        <f t="shared" ca="1" si="82"/>
        <v>HP_</v>
      </c>
      <c r="AC156" s="694" t="str">
        <f t="shared" ca="1" si="83"/>
        <v>HP_</v>
      </c>
      <c r="AD156" s="694" t="str">
        <f t="shared" ca="1" si="84"/>
        <v>HP_</v>
      </c>
      <c r="AE156" s="694" t="str">
        <f t="shared" ca="1" si="85"/>
        <v>HP_</v>
      </c>
      <c r="AF156" s="695" t="str">
        <f t="shared" ca="1" si="86"/>
        <v>HP_</v>
      </c>
      <c r="AG156" s="693" t="str">
        <f t="shared" ca="1" si="87"/>
        <v>C55</v>
      </c>
      <c r="AH156" s="694" t="str">
        <f t="shared" ca="1" si="88"/>
        <v>D55</v>
      </c>
      <c r="AI156" s="694" t="str">
        <f t="shared" ca="1" si="89"/>
        <v>E55</v>
      </c>
      <c r="AJ156" s="694" t="str">
        <f t="shared" ca="1" si="90"/>
        <v>F55</v>
      </c>
      <c r="AK156" s="696" t="str">
        <f t="shared" ca="1" si="91"/>
        <v>G55</v>
      </c>
    </row>
    <row r="157" spans="1:37" ht="13.5" thickBot="1">
      <c r="A157" s="673" t="str">
        <f t="shared" si="74"/>
        <v>Very high Temperature COP  (kW/kW)</v>
      </c>
      <c r="B157" s="674">
        <f>IF(E130="Yes",1,0)</f>
        <v>0</v>
      </c>
      <c r="C157" s="697">
        <f t="shared" si="76"/>
        <v>0</v>
      </c>
      <c r="D157" s="698">
        <f t="shared" si="75"/>
        <v>0</v>
      </c>
      <c r="E157" s="698">
        <f t="shared" si="75"/>
        <v>0</v>
      </c>
      <c r="F157" s="698">
        <f t="shared" si="75"/>
        <v>0</v>
      </c>
      <c r="G157" s="699">
        <f t="shared" si="75"/>
        <v>0</v>
      </c>
      <c r="H157" s="700">
        <f>HP_1!C59</f>
        <v>0</v>
      </c>
      <c r="I157" s="701">
        <f>HP_1!D59</f>
        <v>0</v>
      </c>
      <c r="J157" s="701">
        <f>HP_1!E59</f>
        <v>0</v>
      </c>
      <c r="K157" s="701">
        <f>HP_1!F59</f>
        <v>0</v>
      </c>
      <c r="L157" s="702">
        <f>HP_1!G59</f>
        <v>0</v>
      </c>
      <c r="M157" s="697" cm="1">
        <f t="array" aca="1" ref="M157" ca="1">INDIRECT(AB157&amp;M$151&amp;"!"&amp;AG157)</f>
        <v>0</v>
      </c>
      <c r="N157" s="698" cm="1">
        <f t="array" aca="1" ref="N157" ca="1">INDIRECT(AC157&amp;N$151&amp;"!"&amp;AH157)</f>
        <v>0</v>
      </c>
      <c r="O157" s="698" cm="1">
        <f t="array" aca="1" ref="O157" ca="1">INDIRECT(AD157&amp;O$151&amp;"!"&amp;AI157)</f>
        <v>0</v>
      </c>
      <c r="P157" s="698" cm="1">
        <f t="array" aca="1" ref="P157" ca="1">INDIRECT(AE157&amp;P$151&amp;"!"&amp;AJ157)</f>
        <v>0</v>
      </c>
      <c r="Q157" s="699" cm="1">
        <f t="array" aca="1" ref="Q157" ca="1">INDIRECT(AF157&amp;Q$151&amp;"!"&amp;AK157)</f>
        <v>0</v>
      </c>
      <c r="R157" s="697" cm="1">
        <f t="array" aca="1" ref="R157" ca="1">INDIRECT(AB157&amp;R$151&amp;"!"&amp;AG157)</f>
        <v>0</v>
      </c>
      <c r="S157" s="698" cm="1">
        <f t="array" aca="1" ref="S157" ca="1">INDIRECT(AC157&amp;S$151&amp;"!"&amp;AH157)</f>
        <v>0</v>
      </c>
      <c r="T157" s="698" cm="1">
        <f t="array" aca="1" ref="T157" ca="1">INDIRECT(AD157&amp;T$151&amp;"!"&amp;AI157)</f>
        <v>0</v>
      </c>
      <c r="U157" s="698" cm="1">
        <f t="array" aca="1" ref="U157" ca="1">INDIRECT(AE157&amp;U$151&amp;"!"&amp;AJ157)</f>
        <v>0</v>
      </c>
      <c r="V157" s="703" cm="1">
        <f t="array" aca="1" ref="V157" ca="1">INDIRECT(AF157&amp;V$151&amp;"!"&amp;AK157)</f>
        <v>0</v>
      </c>
      <c r="W157" s="704" t="str">
        <f t="shared" ca="1" si="77"/>
        <v>HP_1!C59</v>
      </c>
      <c r="X157" s="705" t="str">
        <f t="shared" ca="1" si="78"/>
        <v>HP_1!D59</v>
      </c>
      <c r="Y157" s="705" t="str">
        <f t="shared" ca="1" si="79"/>
        <v>HP_1!E59</v>
      </c>
      <c r="Z157" s="705" t="str">
        <f t="shared" ca="1" si="80"/>
        <v>HP_1!F59</v>
      </c>
      <c r="AA157" s="706" t="str">
        <f t="shared" ca="1" si="81"/>
        <v>HP_1!G59</v>
      </c>
      <c r="AB157" s="704" t="str">
        <f t="shared" ca="1" si="82"/>
        <v>HP_</v>
      </c>
      <c r="AC157" s="705" t="str">
        <f t="shared" ca="1" si="83"/>
        <v>HP_</v>
      </c>
      <c r="AD157" s="705" t="str">
        <f t="shared" ca="1" si="84"/>
        <v>HP_</v>
      </c>
      <c r="AE157" s="705" t="str">
        <f t="shared" ca="1" si="85"/>
        <v>HP_</v>
      </c>
      <c r="AF157" s="706" t="str">
        <f t="shared" ca="1" si="86"/>
        <v>HP_</v>
      </c>
      <c r="AG157" s="704" t="str">
        <f t="shared" ca="1" si="87"/>
        <v>C59</v>
      </c>
      <c r="AH157" s="705" t="str">
        <f t="shared" ca="1" si="88"/>
        <v>D59</v>
      </c>
      <c r="AI157" s="705" t="str">
        <f t="shared" ca="1" si="89"/>
        <v>E59</v>
      </c>
      <c r="AJ157" s="705" t="str">
        <f t="shared" ca="1" si="90"/>
        <v>F59</v>
      </c>
      <c r="AK157" s="707" t="str">
        <f t="shared" ca="1" si="91"/>
        <v>G59</v>
      </c>
    </row>
    <row r="158" spans="1:37">
      <c r="A158" s="673" t="str">
        <f t="shared" si="74"/>
        <v>Low Temperature Heating Capacity (kW)</v>
      </c>
      <c r="B158" s="674">
        <f>B154</f>
        <v>0</v>
      </c>
      <c r="C158" s="686">
        <f t="shared" si="76"/>
        <v>0</v>
      </c>
      <c r="D158" s="687">
        <f t="shared" si="75"/>
        <v>0</v>
      </c>
      <c r="E158" s="687">
        <f t="shared" si="75"/>
        <v>0</v>
      </c>
      <c r="F158" s="687">
        <f t="shared" si="75"/>
        <v>0</v>
      </c>
      <c r="G158" s="688">
        <f t="shared" si="75"/>
        <v>0</v>
      </c>
      <c r="H158" s="689">
        <f>HP_1!C46</f>
        <v>0</v>
      </c>
      <c r="I158" s="690">
        <f>HP_1!D46</f>
        <v>0</v>
      </c>
      <c r="J158" s="690">
        <f>HP_1!E46</f>
        <v>0</v>
      </c>
      <c r="K158" s="690">
        <f>HP_1!F46</f>
        <v>0</v>
      </c>
      <c r="L158" s="691">
        <f>HP_1!G46</f>
        <v>0</v>
      </c>
      <c r="M158" s="686" cm="1">
        <f t="array" aca="1" ref="M158" ca="1">INDIRECT(AB158&amp;M$151&amp;"!"&amp;AG158)</f>
        <v>0</v>
      </c>
      <c r="N158" s="687" cm="1">
        <f t="array" aca="1" ref="N158" ca="1">INDIRECT(AC158&amp;N$151&amp;"!"&amp;AH158)</f>
        <v>0</v>
      </c>
      <c r="O158" s="687" cm="1">
        <f t="array" aca="1" ref="O158" ca="1">INDIRECT(AD158&amp;O$151&amp;"!"&amp;AI158)</f>
        <v>0</v>
      </c>
      <c r="P158" s="687" cm="1">
        <f t="array" aca="1" ref="P158" ca="1">INDIRECT(AE158&amp;P$151&amp;"!"&amp;AJ158)</f>
        <v>0</v>
      </c>
      <c r="Q158" s="688" cm="1">
        <f t="array" aca="1" ref="Q158" ca="1">INDIRECT(AF158&amp;Q$151&amp;"!"&amp;AK158)</f>
        <v>0</v>
      </c>
      <c r="R158" s="686" cm="1">
        <f t="array" aca="1" ref="R158" ca="1">INDIRECT(AB158&amp;R$151&amp;"!"&amp;AG158)</f>
        <v>0</v>
      </c>
      <c r="S158" s="687" cm="1">
        <f t="array" aca="1" ref="S158" ca="1">INDIRECT(AC158&amp;S$151&amp;"!"&amp;AH158)</f>
        <v>0</v>
      </c>
      <c r="T158" s="687" cm="1">
        <f t="array" aca="1" ref="T158" ca="1">INDIRECT(AD158&amp;T$151&amp;"!"&amp;AI158)</f>
        <v>0</v>
      </c>
      <c r="U158" s="687" cm="1">
        <f t="array" aca="1" ref="U158" ca="1">INDIRECT(AE158&amp;U$151&amp;"!"&amp;AJ158)</f>
        <v>0</v>
      </c>
      <c r="V158" s="692" cm="1">
        <f t="array" aca="1" ref="V158" ca="1">INDIRECT(AF158&amp;V$151&amp;"!"&amp;AK158)</f>
        <v>0</v>
      </c>
      <c r="W158" s="693" t="str">
        <f t="shared" ca="1" si="77"/>
        <v>HP_1!C46</v>
      </c>
      <c r="X158" s="694" t="str">
        <f t="shared" ca="1" si="78"/>
        <v>HP_1!D46</v>
      </c>
      <c r="Y158" s="694" t="str">
        <f t="shared" ca="1" si="79"/>
        <v>HP_1!E46</v>
      </c>
      <c r="Z158" s="694" t="str">
        <f t="shared" ca="1" si="80"/>
        <v>HP_1!F46</v>
      </c>
      <c r="AA158" s="695" t="str">
        <f t="shared" ca="1" si="81"/>
        <v>HP_1!G46</v>
      </c>
      <c r="AB158" s="693" t="str">
        <f t="shared" ca="1" si="82"/>
        <v>HP_</v>
      </c>
      <c r="AC158" s="694" t="str">
        <f t="shared" ca="1" si="83"/>
        <v>HP_</v>
      </c>
      <c r="AD158" s="694" t="str">
        <f t="shared" ca="1" si="84"/>
        <v>HP_</v>
      </c>
      <c r="AE158" s="694" t="str">
        <f t="shared" ca="1" si="85"/>
        <v>HP_</v>
      </c>
      <c r="AF158" s="695" t="str">
        <f t="shared" ca="1" si="86"/>
        <v>HP_</v>
      </c>
      <c r="AG158" s="693" t="str">
        <f t="shared" ca="1" si="87"/>
        <v>C46</v>
      </c>
      <c r="AH158" s="694" t="str">
        <f t="shared" ca="1" si="88"/>
        <v>D46</v>
      </c>
      <c r="AI158" s="694" t="str">
        <f t="shared" ca="1" si="89"/>
        <v>E46</v>
      </c>
      <c r="AJ158" s="694" t="str">
        <f t="shared" ca="1" si="90"/>
        <v>F46</v>
      </c>
      <c r="AK158" s="696" t="str">
        <f t="shared" ca="1" si="91"/>
        <v>G46</v>
      </c>
    </row>
    <row r="159" spans="1:37">
      <c r="A159" s="673" t="str">
        <f t="shared" si="74"/>
        <v>Medium Temperature Heating Capacity (kW)</v>
      </c>
      <c r="B159" s="674">
        <f>B155</f>
        <v>0</v>
      </c>
      <c r="C159" s="686">
        <f t="shared" si="76"/>
        <v>0</v>
      </c>
      <c r="D159" s="687">
        <f t="shared" si="75"/>
        <v>0</v>
      </c>
      <c r="E159" s="687">
        <f t="shared" si="75"/>
        <v>0</v>
      </c>
      <c r="F159" s="687">
        <f t="shared" si="75"/>
        <v>0</v>
      </c>
      <c r="G159" s="688">
        <f t="shared" si="75"/>
        <v>0</v>
      </c>
      <c r="H159" s="689">
        <f>HP_1!C50</f>
        <v>0</v>
      </c>
      <c r="I159" s="690">
        <f>HP_1!D50</f>
        <v>0</v>
      </c>
      <c r="J159" s="690">
        <f>HP_1!E50</f>
        <v>0</v>
      </c>
      <c r="K159" s="690">
        <f>HP_1!F50</f>
        <v>0</v>
      </c>
      <c r="L159" s="691">
        <f>HP_1!G50</f>
        <v>0</v>
      </c>
      <c r="M159" s="686" cm="1">
        <f t="array" aca="1" ref="M159" ca="1">INDIRECT(AB159&amp;M$151&amp;"!"&amp;AG159)</f>
        <v>0</v>
      </c>
      <c r="N159" s="687" cm="1">
        <f t="array" aca="1" ref="N159" ca="1">INDIRECT(AC159&amp;N$151&amp;"!"&amp;AH159)</f>
        <v>0</v>
      </c>
      <c r="O159" s="687" cm="1">
        <f t="array" aca="1" ref="O159" ca="1">INDIRECT(AD159&amp;O$151&amp;"!"&amp;AI159)</f>
        <v>0</v>
      </c>
      <c r="P159" s="687" cm="1">
        <f t="array" aca="1" ref="P159" ca="1">INDIRECT(AE159&amp;P$151&amp;"!"&amp;AJ159)</f>
        <v>0</v>
      </c>
      <c r="Q159" s="688" cm="1">
        <f t="array" aca="1" ref="Q159" ca="1">INDIRECT(AF159&amp;Q$151&amp;"!"&amp;AK159)</f>
        <v>0</v>
      </c>
      <c r="R159" s="686" cm="1">
        <f t="array" aca="1" ref="R159" ca="1">INDIRECT(AB159&amp;R$151&amp;"!"&amp;AG159)</f>
        <v>0</v>
      </c>
      <c r="S159" s="687" cm="1">
        <f t="array" aca="1" ref="S159" ca="1">INDIRECT(AC159&amp;S$151&amp;"!"&amp;AH159)</f>
        <v>0</v>
      </c>
      <c r="T159" s="687" cm="1">
        <f t="array" aca="1" ref="T159" ca="1">INDIRECT(AD159&amp;T$151&amp;"!"&amp;AI159)</f>
        <v>0</v>
      </c>
      <c r="U159" s="687" cm="1">
        <f t="array" aca="1" ref="U159" ca="1">INDIRECT(AE159&amp;U$151&amp;"!"&amp;AJ159)</f>
        <v>0</v>
      </c>
      <c r="V159" s="692" cm="1">
        <f t="array" aca="1" ref="V159" ca="1">INDIRECT(AF159&amp;V$151&amp;"!"&amp;AK159)</f>
        <v>0</v>
      </c>
      <c r="W159" s="693" t="str">
        <f t="shared" ca="1" si="77"/>
        <v>HP_1!C50</v>
      </c>
      <c r="X159" s="694" t="str">
        <f t="shared" ca="1" si="78"/>
        <v>HP_1!D50</v>
      </c>
      <c r="Y159" s="694" t="str">
        <f t="shared" ca="1" si="79"/>
        <v>HP_1!E50</v>
      </c>
      <c r="Z159" s="694" t="str">
        <f t="shared" ca="1" si="80"/>
        <v>HP_1!F50</v>
      </c>
      <c r="AA159" s="695" t="str">
        <f t="shared" ca="1" si="81"/>
        <v>HP_1!G50</v>
      </c>
      <c r="AB159" s="693" t="str">
        <f t="shared" ca="1" si="82"/>
        <v>HP_</v>
      </c>
      <c r="AC159" s="694" t="str">
        <f t="shared" ca="1" si="83"/>
        <v>HP_</v>
      </c>
      <c r="AD159" s="694" t="str">
        <f t="shared" ca="1" si="84"/>
        <v>HP_</v>
      </c>
      <c r="AE159" s="694" t="str">
        <f t="shared" ca="1" si="85"/>
        <v>HP_</v>
      </c>
      <c r="AF159" s="695" t="str">
        <f t="shared" ca="1" si="86"/>
        <v>HP_</v>
      </c>
      <c r="AG159" s="693" t="str">
        <f t="shared" ca="1" si="87"/>
        <v>C50</v>
      </c>
      <c r="AH159" s="694" t="str">
        <f t="shared" ca="1" si="88"/>
        <v>D50</v>
      </c>
      <c r="AI159" s="694" t="str">
        <f t="shared" ca="1" si="89"/>
        <v>E50</v>
      </c>
      <c r="AJ159" s="694" t="str">
        <f t="shared" ca="1" si="90"/>
        <v>F50</v>
      </c>
      <c r="AK159" s="696" t="str">
        <f t="shared" ca="1" si="91"/>
        <v>G50</v>
      </c>
    </row>
    <row r="160" spans="1:37">
      <c r="A160" s="673" t="str">
        <f t="shared" si="74"/>
        <v>High Temperature Heating Capacity (kW)</v>
      </c>
      <c r="B160" s="674">
        <f>B156</f>
        <v>1</v>
      </c>
      <c r="C160" s="686">
        <f t="shared" si="76"/>
        <v>0</v>
      </c>
      <c r="D160" s="687">
        <f t="shared" si="75"/>
        <v>0</v>
      </c>
      <c r="E160" s="687">
        <f t="shared" si="75"/>
        <v>0</v>
      </c>
      <c r="F160" s="687">
        <f t="shared" si="75"/>
        <v>0</v>
      </c>
      <c r="G160" s="688">
        <f t="shared" si="75"/>
        <v>0</v>
      </c>
      <c r="H160" s="689">
        <f>HP_1!C54</f>
        <v>0</v>
      </c>
      <c r="I160" s="690">
        <f>HP_1!D54</f>
        <v>0</v>
      </c>
      <c r="J160" s="690">
        <f>HP_1!E54</f>
        <v>0</v>
      </c>
      <c r="K160" s="690">
        <f>HP_1!F54</f>
        <v>0</v>
      </c>
      <c r="L160" s="691">
        <f>HP_1!G54</f>
        <v>0</v>
      </c>
      <c r="M160" s="686" cm="1">
        <f t="array" aca="1" ref="M160" ca="1">INDIRECT(AB160&amp;M$151&amp;"!"&amp;AG160)</f>
        <v>0</v>
      </c>
      <c r="N160" s="687" cm="1">
        <f t="array" aca="1" ref="N160" ca="1">INDIRECT(AC160&amp;N$151&amp;"!"&amp;AH160)</f>
        <v>0</v>
      </c>
      <c r="O160" s="687" cm="1">
        <f t="array" aca="1" ref="O160" ca="1">INDIRECT(AD160&amp;O$151&amp;"!"&amp;AI160)</f>
        <v>0</v>
      </c>
      <c r="P160" s="687" cm="1">
        <f t="array" aca="1" ref="P160" ca="1">INDIRECT(AE160&amp;P$151&amp;"!"&amp;AJ160)</f>
        <v>0</v>
      </c>
      <c r="Q160" s="688" cm="1">
        <f t="array" aca="1" ref="Q160" ca="1">INDIRECT(AF160&amp;Q$151&amp;"!"&amp;AK160)</f>
        <v>0</v>
      </c>
      <c r="R160" s="686" cm="1">
        <f t="array" aca="1" ref="R160" ca="1">INDIRECT(AB160&amp;R$151&amp;"!"&amp;AG160)</f>
        <v>0</v>
      </c>
      <c r="S160" s="687" cm="1">
        <f t="array" aca="1" ref="S160" ca="1">INDIRECT(AC160&amp;S$151&amp;"!"&amp;AH160)</f>
        <v>0</v>
      </c>
      <c r="T160" s="687" cm="1">
        <f t="array" aca="1" ref="T160" ca="1">INDIRECT(AD160&amp;T$151&amp;"!"&amp;AI160)</f>
        <v>0</v>
      </c>
      <c r="U160" s="687" cm="1">
        <f t="array" aca="1" ref="U160" ca="1">INDIRECT(AE160&amp;U$151&amp;"!"&amp;AJ160)</f>
        <v>0</v>
      </c>
      <c r="V160" s="692" cm="1">
        <f t="array" aca="1" ref="V160" ca="1">INDIRECT(AF160&amp;V$151&amp;"!"&amp;AK160)</f>
        <v>0</v>
      </c>
      <c r="W160" s="693" t="str">
        <f t="shared" ca="1" si="77"/>
        <v>HP_1!C54</v>
      </c>
      <c r="X160" s="694" t="str">
        <f t="shared" ca="1" si="78"/>
        <v>HP_1!D54</v>
      </c>
      <c r="Y160" s="694" t="str">
        <f t="shared" ca="1" si="79"/>
        <v>HP_1!E54</v>
      </c>
      <c r="Z160" s="694" t="str">
        <f t="shared" ca="1" si="80"/>
        <v>HP_1!F54</v>
      </c>
      <c r="AA160" s="695" t="str">
        <f t="shared" ca="1" si="81"/>
        <v>HP_1!G54</v>
      </c>
      <c r="AB160" s="693" t="str">
        <f t="shared" ca="1" si="82"/>
        <v>HP_</v>
      </c>
      <c r="AC160" s="694" t="str">
        <f t="shared" ca="1" si="83"/>
        <v>HP_</v>
      </c>
      <c r="AD160" s="694" t="str">
        <f t="shared" ca="1" si="84"/>
        <v>HP_</v>
      </c>
      <c r="AE160" s="694" t="str">
        <f t="shared" ca="1" si="85"/>
        <v>HP_</v>
      </c>
      <c r="AF160" s="695" t="str">
        <f t="shared" ca="1" si="86"/>
        <v>HP_</v>
      </c>
      <c r="AG160" s="693" t="str">
        <f t="shared" ca="1" si="87"/>
        <v>C54</v>
      </c>
      <c r="AH160" s="694" t="str">
        <f t="shared" ca="1" si="88"/>
        <v>D54</v>
      </c>
      <c r="AI160" s="694" t="str">
        <f t="shared" ca="1" si="89"/>
        <v>E54</v>
      </c>
      <c r="AJ160" s="694" t="str">
        <f t="shared" ca="1" si="90"/>
        <v>F54</v>
      </c>
      <c r="AK160" s="696" t="str">
        <f t="shared" ca="1" si="91"/>
        <v>G54</v>
      </c>
    </row>
    <row r="161" spans="1:37" ht="13.5" thickBot="1">
      <c r="A161" s="708" t="str">
        <f t="shared" si="74"/>
        <v>Very high Temperature Heating Capacity (kW)</v>
      </c>
      <c r="B161" s="709">
        <f>B157</f>
        <v>0</v>
      </c>
      <c r="C161" s="697">
        <f t="shared" si="76"/>
        <v>0</v>
      </c>
      <c r="D161" s="698">
        <f t="shared" si="75"/>
        <v>0</v>
      </c>
      <c r="E161" s="698">
        <f t="shared" si="75"/>
        <v>0</v>
      </c>
      <c r="F161" s="698">
        <f t="shared" si="75"/>
        <v>0</v>
      </c>
      <c r="G161" s="699">
        <f t="shared" si="75"/>
        <v>0</v>
      </c>
      <c r="H161" s="700">
        <f>HP_1!C58</f>
        <v>0</v>
      </c>
      <c r="I161" s="701">
        <f>HP_1!D58</f>
        <v>0</v>
      </c>
      <c r="J161" s="701">
        <f>HP_1!E58</f>
        <v>0</v>
      </c>
      <c r="K161" s="701">
        <f>HP_1!F58</f>
        <v>0</v>
      </c>
      <c r="L161" s="702">
        <f>HP_1!G58</f>
        <v>0</v>
      </c>
      <c r="M161" s="697" cm="1">
        <f t="array" aca="1" ref="M161" ca="1">INDIRECT(AB161&amp;M$151&amp;"!"&amp;AG161)</f>
        <v>0</v>
      </c>
      <c r="N161" s="698" cm="1">
        <f t="array" aca="1" ref="N161" ca="1">INDIRECT(AC161&amp;N$151&amp;"!"&amp;AH161)</f>
        <v>0</v>
      </c>
      <c r="O161" s="698" cm="1">
        <f t="array" aca="1" ref="O161" ca="1">INDIRECT(AD161&amp;O$151&amp;"!"&amp;AI161)</f>
        <v>0</v>
      </c>
      <c r="P161" s="698" cm="1">
        <f t="array" aca="1" ref="P161" ca="1">INDIRECT(AE161&amp;P$151&amp;"!"&amp;AJ161)</f>
        <v>0</v>
      </c>
      <c r="Q161" s="699" cm="1">
        <f t="array" aca="1" ref="Q161" ca="1">INDIRECT(AF161&amp;Q$151&amp;"!"&amp;AK161)</f>
        <v>0</v>
      </c>
      <c r="R161" s="697" cm="1">
        <f t="array" aca="1" ref="R161" ca="1">INDIRECT(AB161&amp;R$151&amp;"!"&amp;AG161)</f>
        <v>0</v>
      </c>
      <c r="S161" s="698" cm="1">
        <f t="array" aca="1" ref="S161" ca="1">INDIRECT(AC161&amp;S$151&amp;"!"&amp;AH161)</f>
        <v>0</v>
      </c>
      <c r="T161" s="698" cm="1">
        <f t="array" aca="1" ref="T161" ca="1">INDIRECT(AD161&amp;T$151&amp;"!"&amp;AI161)</f>
        <v>0</v>
      </c>
      <c r="U161" s="698" cm="1">
        <f t="array" aca="1" ref="U161" ca="1">INDIRECT(AE161&amp;U$151&amp;"!"&amp;AJ161)</f>
        <v>0</v>
      </c>
      <c r="V161" s="703" cm="1">
        <f t="array" aca="1" ref="V161" ca="1">INDIRECT(AF161&amp;V$151&amp;"!"&amp;AK161)</f>
        <v>0</v>
      </c>
      <c r="W161" s="704" t="str">
        <f t="shared" ca="1" si="77"/>
        <v>HP_1!C58</v>
      </c>
      <c r="X161" s="705" t="str">
        <f t="shared" ca="1" si="78"/>
        <v>HP_1!D58</v>
      </c>
      <c r="Y161" s="705" t="str">
        <f t="shared" ca="1" si="79"/>
        <v>HP_1!E58</v>
      </c>
      <c r="Z161" s="705" t="str">
        <f t="shared" ca="1" si="80"/>
        <v>HP_1!F58</v>
      </c>
      <c r="AA161" s="706" t="str">
        <f t="shared" ca="1" si="81"/>
        <v>HP_1!G58</v>
      </c>
      <c r="AB161" s="704" t="str">
        <f t="shared" ca="1" si="82"/>
        <v>HP_</v>
      </c>
      <c r="AC161" s="705" t="str">
        <f t="shared" ca="1" si="83"/>
        <v>HP_</v>
      </c>
      <c r="AD161" s="705" t="str">
        <f t="shared" ca="1" si="84"/>
        <v>HP_</v>
      </c>
      <c r="AE161" s="705" t="str">
        <f t="shared" ca="1" si="85"/>
        <v>HP_</v>
      </c>
      <c r="AF161" s="706" t="str">
        <f t="shared" ca="1" si="86"/>
        <v>HP_</v>
      </c>
      <c r="AG161" s="704" t="str">
        <f t="shared" ca="1" si="87"/>
        <v>C58</v>
      </c>
      <c r="AH161" s="705" t="str">
        <f t="shared" ca="1" si="88"/>
        <v>D58</v>
      </c>
      <c r="AI161" s="705" t="str">
        <f t="shared" ca="1" si="89"/>
        <v>E58</v>
      </c>
      <c r="AJ161" s="705" t="str">
        <f t="shared" ca="1" si="90"/>
        <v>F58</v>
      </c>
      <c r="AK161" s="707" t="str">
        <f t="shared" ca="1" si="91"/>
        <v>G58</v>
      </c>
    </row>
  </sheetData>
  <sheetProtection algorithmName="SHA-512" hashValue="0mpp/yZJxFHQNbzBcciUu7/zQ+vSGKBtVHKSrV4A2mvCbhT7qNkhYK2dgsj4YODPU/7L9C2XUjuaCxLLvQcE7w==" saltValue="BU0Bh628Nfq8a5DhP7SPUA==" spinCount="100000" sheet="1" objects="1" scenarios="1"/>
  <autoFilter ref="A1:AD56" xr:uid="{00000000-0009-0000-0000-000013000000}"/>
  <mergeCells count="5">
    <mergeCell ref="AF3:AI3"/>
    <mergeCell ref="C40:H40"/>
    <mergeCell ref="W151:AA151"/>
    <mergeCell ref="AB151:AF151"/>
    <mergeCell ref="AG151:AK151"/>
  </mergeCells>
  <pageMargins left="0.75" right="0.75" top="1" bottom="1" header="0.5" footer="0.5"/>
  <pageSetup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F3C38-386D-4701-89F1-BAFB46AAAE75}">
  <dimension ref="A1:AK161"/>
  <sheetViews>
    <sheetView topLeftCell="A13" zoomScaleNormal="100" workbookViewId="0"/>
  </sheetViews>
  <sheetFormatPr defaultColWidth="9.140625" defaultRowHeight="12.75"/>
  <cols>
    <col min="1" max="1" width="47.140625" style="571" customWidth="1"/>
    <col min="2" max="2" width="39" style="571" customWidth="1"/>
    <col min="3" max="3" width="9.5703125" style="571" bestFit="1" customWidth="1"/>
    <col min="4" max="4" width="11.7109375" style="571" bestFit="1" customWidth="1"/>
    <col min="5" max="7" width="15" style="571" customWidth="1"/>
    <col min="8" max="8" width="11.85546875" style="571" customWidth="1"/>
    <col min="9" max="9" width="73.28515625" style="571" customWidth="1"/>
    <col min="10" max="10" width="35.28515625" style="571" customWidth="1"/>
    <col min="11" max="11" width="14.7109375" style="571" customWidth="1"/>
    <col min="12" max="12" width="36.140625" style="578" customWidth="1"/>
    <col min="13" max="13" width="14.7109375" style="571" customWidth="1"/>
    <col min="14" max="14" width="9.140625" style="571"/>
    <col min="15" max="15" width="15.85546875" style="571" customWidth="1"/>
    <col min="16" max="16" width="15.5703125" style="571" customWidth="1"/>
    <col min="17" max="19" width="16.85546875" style="571" customWidth="1"/>
    <col min="20" max="20" width="20" style="571" customWidth="1"/>
    <col min="21" max="21" width="18.5703125" style="571" customWidth="1"/>
    <col min="22" max="22" width="11.28515625" style="571" customWidth="1"/>
    <col min="23" max="23" width="10.85546875" style="571" customWidth="1"/>
    <col min="24" max="24" width="9.140625" style="571"/>
    <col min="25" max="25" width="11.7109375" style="571" customWidth="1"/>
    <col min="26" max="27" width="14.7109375" style="571" customWidth="1"/>
    <col min="28" max="28" width="12.7109375" style="571" customWidth="1"/>
    <col min="29" max="29" width="26" style="578" customWidth="1"/>
    <col min="30" max="31" width="11.42578125" style="571" customWidth="1"/>
    <col min="32" max="16384" width="9.140625" style="571"/>
  </cols>
  <sheetData>
    <row r="1" spans="1:35" ht="18.75" thickBot="1">
      <c r="A1" s="570" t="s">
        <v>197</v>
      </c>
      <c r="C1" s="571" t="s">
        <v>198</v>
      </c>
      <c r="D1" s="571" t="s">
        <v>199</v>
      </c>
      <c r="E1" s="571" t="s">
        <v>200</v>
      </c>
      <c r="F1" s="571" t="s">
        <v>201</v>
      </c>
      <c r="G1" s="571" t="s">
        <v>202</v>
      </c>
      <c r="H1" s="571" t="s">
        <v>46</v>
      </c>
      <c r="I1" s="572" t="s">
        <v>203</v>
      </c>
      <c r="J1" s="292" t="s">
        <v>509</v>
      </c>
      <c r="K1" s="293">
        <v>2</v>
      </c>
      <c r="L1" s="51"/>
      <c r="M1" s="573"/>
      <c r="N1" s="52"/>
      <c r="O1" s="571" t="s">
        <v>204</v>
      </c>
      <c r="P1" s="571" t="s">
        <v>1</v>
      </c>
      <c r="Q1" s="571" t="s">
        <v>1</v>
      </c>
      <c r="T1" s="574" t="e">
        <f ca="1">IF(E111=24,(1-AG24)*H8,IF(E111=16,(1-AH24)*H8,(1-AI24)*H8))</f>
        <v>#VALUE!</v>
      </c>
      <c r="U1" s="574">
        <f ca="1">H12</f>
        <v>0</v>
      </c>
      <c r="AA1" s="571" t="e">
        <f ca="1">IF(E111=24,(AG24)*H8,IF(E111=16,(AH24)*H8,(AI24)*H8))</f>
        <v>#VALUE!</v>
      </c>
      <c r="AC1" s="51"/>
      <c r="AD1" s="573"/>
    </row>
    <row r="2" spans="1:35" ht="27.6" customHeight="1">
      <c r="A2" s="571" t="s">
        <v>205</v>
      </c>
      <c r="B2" s="575" t="s">
        <v>493</v>
      </c>
      <c r="C2" s="576" t="s">
        <v>206</v>
      </c>
      <c r="D2" s="576" t="s">
        <v>207</v>
      </c>
      <c r="E2" s="576" t="s">
        <v>208</v>
      </c>
      <c r="F2" s="576" t="s">
        <v>209</v>
      </c>
      <c r="G2" s="576" t="s">
        <v>210</v>
      </c>
      <c r="J2" s="577"/>
      <c r="K2" s="572"/>
      <c r="M2" s="572"/>
      <c r="AD2" s="572" t="s">
        <v>1</v>
      </c>
    </row>
    <row r="3" spans="1:35" ht="69.599999999999994" customHeight="1">
      <c r="A3" s="571" t="s">
        <v>211</v>
      </c>
      <c r="B3" s="571" t="s">
        <v>212</v>
      </c>
      <c r="C3" s="574">
        <f ca="1">E101</f>
        <v>0</v>
      </c>
      <c r="D3" s="571">
        <v>-7</v>
      </c>
      <c r="E3" s="571">
        <v>2</v>
      </c>
      <c r="F3" s="571">
        <v>7</v>
      </c>
      <c r="G3" s="571">
        <v>12</v>
      </c>
      <c r="I3" s="579" t="str">
        <f ca="1">"Based on standard "&amp;E100</f>
        <v>Based on standard I.S. EN 14825</v>
      </c>
      <c r="J3" s="577"/>
      <c r="K3" s="572"/>
      <c r="M3" s="572" t="s">
        <v>213</v>
      </c>
      <c r="N3" s="577" t="s">
        <v>174</v>
      </c>
      <c r="O3" s="578" t="s">
        <v>214</v>
      </c>
      <c r="P3" s="578" t="s">
        <v>215</v>
      </c>
      <c r="Q3" s="578" t="s">
        <v>216</v>
      </c>
      <c r="R3" s="578" t="s">
        <v>217</v>
      </c>
      <c r="S3" s="578" t="s">
        <v>218</v>
      </c>
      <c r="T3" s="578" t="s">
        <v>219</v>
      </c>
      <c r="U3" s="578" t="s">
        <v>220</v>
      </c>
      <c r="V3" s="578" t="s">
        <v>221</v>
      </c>
      <c r="W3" s="580" t="s">
        <v>412</v>
      </c>
      <c r="X3" s="580" t="s">
        <v>413</v>
      </c>
      <c r="Y3" s="580" t="s">
        <v>414</v>
      </c>
      <c r="Z3" s="580" t="s">
        <v>415</v>
      </c>
      <c r="AA3" s="577" t="s">
        <v>222</v>
      </c>
      <c r="AB3" s="577" t="s">
        <v>223</v>
      </c>
      <c r="AC3" s="577" t="s">
        <v>224</v>
      </c>
      <c r="AD3" s="572"/>
      <c r="AF3" s="774" t="s">
        <v>225</v>
      </c>
      <c r="AG3" s="774"/>
      <c r="AH3" s="774"/>
      <c r="AI3" s="774"/>
    </row>
    <row r="4" spans="1:35" ht="14.25">
      <c r="A4" s="572" t="s">
        <v>226</v>
      </c>
      <c r="B4" s="571" t="s">
        <v>227</v>
      </c>
      <c r="C4" s="571">
        <v>-12</v>
      </c>
      <c r="D4" s="571">
        <f ca="1">(C3+D3)/2</f>
        <v>-3.5</v>
      </c>
      <c r="E4" s="571">
        <f>(D3+E3)/2</f>
        <v>-2.5</v>
      </c>
      <c r="F4" s="571">
        <f>(E3+F3)/2</f>
        <v>4.5</v>
      </c>
      <c r="G4" s="571">
        <f>(F3+G3)/2</f>
        <v>9.5</v>
      </c>
      <c r="I4" s="579" t="s">
        <v>395</v>
      </c>
      <c r="J4" s="577"/>
      <c r="K4" s="572"/>
      <c r="M4" s="581">
        <f ca="1">C3</f>
        <v>0</v>
      </c>
      <c r="N4" s="574">
        <f ca="1">C41</f>
        <v>0</v>
      </c>
      <c r="O4" s="582">
        <v>-12</v>
      </c>
      <c r="P4" s="583">
        <f>'Meteorological data'!F4</f>
        <v>0</v>
      </c>
      <c r="Q4" s="583">
        <f>'Meteorological data'!G4</f>
        <v>0</v>
      </c>
      <c r="R4" s="584">
        <v>0</v>
      </c>
      <c r="S4" s="585">
        <f t="shared" ref="S4:S51" ca="1" si="0">R4*((24-$E$112)/24)</f>
        <v>0</v>
      </c>
      <c r="T4" s="585" t="e">
        <f ca="1">$T$1*P4</f>
        <v>#VALUE!</v>
      </c>
      <c r="U4" s="585">
        <f ca="1">$U$1*Q4</f>
        <v>0</v>
      </c>
      <c r="V4" s="585" t="e">
        <f t="shared" ref="V4:V51" ca="1" si="1">IF($E$91=TRUE,(T4+U4),T4)</f>
        <v>#VALUE!</v>
      </c>
      <c r="W4" s="574" t="e">
        <f t="shared" ref="W4:W31" ca="1" si="2">$E$105+((($E$107-$E$110)/2)*(($E$105-O4)/($E$105-$E$104)))+((AVERAGE($E$107,$E$110)-$E$105)*(($E$105-O4)/($E$105-$E$104))^(1/$E$108))</f>
        <v>#VALUE!</v>
      </c>
      <c r="X4" s="574">
        <f ca="1">(($X$9-$N$4)/($O$9-$M$4))*(O4-$M$4)+$N$4</f>
        <v>0</v>
      </c>
      <c r="Y4" s="585" t="e">
        <f ca="1">V4/X4</f>
        <v>#VALUE!</v>
      </c>
      <c r="Z4" s="585" t="e">
        <f ca="1">IF((Y4-S4)&lt;0,0,(Y4-S4))</f>
        <v>#VALUE!</v>
      </c>
      <c r="AA4" s="585" t="e">
        <f ca="1">$AA$1*P4</f>
        <v>#VALUE!</v>
      </c>
      <c r="AB4" s="585" t="e">
        <f ca="1">X4*Z4</f>
        <v>#VALUE!</v>
      </c>
      <c r="AC4" s="586" t="e">
        <f ca="1">AA4+AB4</f>
        <v>#VALUE!</v>
      </c>
      <c r="AF4" s="572" t="s">
        <v>228</v>
      </c>
      <c r="AG4" s="571">
        <v>24</v>
      </c>
      <c r="AH4" s="571">
        <v>16</v>
      </c>
      <c r="AI4" s="571">
        <v>11</v>
      </c>
    </row>
    <row r="5" spans="1:35" ht="14.25">
      <c r="A5" s="572" t="s">
        <v>229</v>
      </c>
      <c r="B5" s="571" t="s">
        <v>227</v>
      </c>
      <c r="C5" s="571">
        <f ca="1">(C3+D3)/2</f>
        <v>-3.5</v>
      </c>
      <c r="D5" s="571">
        <f>(D3+E3)/2</f>
        <v>-2.5</v>
      </c>
      <c r="E5" s="571">
        <f>(E3+F3)/2</f>
        <v>4.5</v>
      </c>
      <c r="F5" s="571">
        <f>(F3+G3)/2</f>
        <v>9.5</v>
      </c>
      <c r="G5" s="571">
        <v>35</v>
      </c>
      <c r="I5" s="579" t="s">
        <v>396</v>
      </c>
      <c r="J5" s="577"/>
      <c r="K5" s="572"/>
      <c r="M5" s="572"/>
      <c r="O5" s="582">
        <f t="shared" ref="O5:O51" si="3">O4+1</f>
        <v>-11</v>
      </c>
      <c r="P5" s="583">
        <f>'Meteorological data'!F5</f>
        <v>0</v>
      </c>
      <c r="Q5" s="583">
        <f>'Meteorological data'!G5</f>
        <v>0</v>
      </c>
      <c r="R5" s="584">
        <v>0</v>
      </c>
      <c r="S5" s="585">
        <f t="shared" ca="1" si="0"/>
        <v>0</v>
      </c>
      <c r="T5" s="585" t="e">
        <f t="shared" ref="T5:T31" ca="1" si="4">$T$1*P5</f>
        <v>#VALUE!</v>
      </c>
      <c r="U5" s="585">
        <f t="shared" ref="U5:U51" ca="1" si="5">$U$1*Q5</f>
        <v>0</v>
      </c>
      <c r="V5" s="585" t="e">
        <f t="shared" ca="1" si="1"/>
        <v>#VALUE!</v>
      </c>
      <c r="W5" s="574" t="e">
        <f t="shared" ca="1" si="2"/>
        <v>#VALUE!</v>
      </c>
      <c r="X5" s="574">
        <f t="shared" ref="X5:X7" ca="1" si="6">(($X$9-$N$4)/($O$9-$M$4))*(O5-$M$4)+$N$4</f>
        <v>0</v>
      </c>
      <c r="Y5" s="585" t="e">
        <f t="shared" ref="Y5:Y15" ca="1" si="7">V5/X5</f>
        <v>#VALUE!</v>
      </c>
      <c r="Z5" s="585" t="e">
        <f t="shared" ref="Z5:Z31" ca="1" si="8">IF((Y5-S5)&lt;0,0,(Y5-S5))</f>
        <v>#VALUE!</v>
      </c>
      <c r="AA5" s="585" t="e">
        <f t="shared" ref="AA5:AA31" ca="1" si="9">$AA$1*P5</f>
        <v>#VALUE!</v>
      </c>
      <c r="AB5" s="585" t="e">
        <f t="shared" ref="AB5:AB31" ca="1" si="10">X5*Z5</f>
        <v>#VALUE!</v>
      </c>
      <c r="AC5" s="586" t="e">
        <f t="shared" ref="AC5:AC31" ca="1" si="11">AA5+AB5</f>
        <v>#VALUE!</v>
      </c>
      <c r="AF5" s="571">
        <v>0.2</v>
      </c>
      <c r="AG5" s="571">
        <v>0.4</v>
      </c>
      <c r="AH5" s="571">
        <v>0.53</v>
      </c>
      <c r="AI5" s="571">
        <v>0.64</v>
      </c>
    </row>
    <row r="6" spans="1:35" ht="14.25">
      <c r="A6" s="587" t="s">
        <v>230</v>
      </c>
      <c r="B6" s="572" t="s">
        <v>433</v>
      </c>
      <c r="C6" s="571">
        <f ca="1">IF(LEFT($E$98,3)="Air",C3,
IF(LEFT($E$98,5)="Water",10,
IF($E$98="Direct exchange (DX)",4,
IF(LEFT($E$98,7)="Exhaust",20,
0))))</f>
        <v>0</v>
      </c>
      <c r="D6" s="571">
        <f ca="1">IF(LEFT($E$98,3)="Air",D3,
IF(LEFT($E$98,5)="Water",10,
IF($E$98="Direct exchange (DX)",4,
IF(LEFT($E$98,7)="Exhaust",20,
0))))</f>
        <v>-7</v>
      </c>
      <c r="E6" s="571">
        <f ca="1">IF(LEFT($E$98,3)="Air",E3,
IF(LEFT($E$98,5)="Water",10,
IF($E$98="Direct exchange (DX)",4,
IF(LEFT($E$98,7)="Exhaust",20,
0))))</f>
        <v>2</v>
      </c>
      <c r="F6" s="571">
        <f ca="1">IF(LEFT($E$98,3)="Air",F3,
IF(LEFT($E$98,5)="Water",10,
IF($E$98="Direct exchange (DX)",4,
IF(LEFT($E$98,7)="Exhaust",20,
0))))</f>
        <v>7</v>
      </c>
      <c r="G6" s="571">
        <f ca="1">IF(LEFT($E$98,3)="Air",G3,
IF(LEFT($E$98,5)="Water",10,
IF($E$98="Direct exchange (DX)",4,
IF(LEFT($E$98,7)="Exhaust",20,
0))))</f>
        <v>12</v>
      </c>
      <c r="I6" s="588"/>
      <c r="J6" s="577"/>
      <c r="N6" s="578"/>
      <c r="O6" s="582">
        <f t="shared" si="3"/>
        <v>-10</v>
      </c>
      <c r="P6" s="583">
        <f>'Meteorological data'!F6</f>
        <v>0</v>
      </c>
      <c r="Q6" s="583">
        <f>'Meteorological data'!G6</f>
        <v>0</v>
      </c>
      <c r="R6" s="584">
        <v>0</v>
      </c>
      <c r="S6" s="585">
        <f t="shared" ca="1" si="0"/>
        <v>0</v>
      </c>
      <c r="T6" s="585" t="e">
        <f ca="1">$T$1*P6</f>
        <v>#VALUE!</v>
      </c>
      <c r="U6" s="585">
        <f t="shared" ca="1" si="5"/>
        <v>0</v>
      </c>
      <c r="V6" s="585" t="e">
        <f t="shared" ca="1" si="1"/>
        <v>#VALUE!</v>
      </c>
      <c r="W6" s="574" t="e">
        <f t="shared" ca="1" si="2"/>
        <v>#VALUE!</v>
      </c>
      <c r="X6" s="574">
        <f t="shared" ca="1" si="6"/>
        <v>0</v>
      </c>
      <c r="Y6" s="585" t="e">
        <f t="shared" ca="1" si="7"/>
        <v>#VALUE!</v>
      </c>
      <c r="Z6" s="585" t="e">
        <f t="shared" ca="1" si="8"/>
        <v>#VALUE!</v>
      </c>
      <c r="AA6" s="585" t="e">
        <f t="shared" ca="1" si="9"/>
        <v>#VALUE!</v>
      </c>
      <c r="AB6" s="585" t="e">
        <f t="shared" ca="1" si="10"/>
        <v>#VALUE!</v>
      </c>
      <c r="AC6" s="586" t="e">
        <f t="shared" ca="1" si="11"/>
        <v>#VALUE!</v>
      </c>
      <c r="AD6" s="572"/>
      <c r="AF6" s="571">
        <v>0.25</v>
      </c>
      <c r="AG6" s="571">
        <v>0.28000000000000003</v>
      </c>
      <c r="AH6" s="571">
        <v>0.43</v>
      </c>
      <c r="AI6" s="571">
        <v>0.56999999999999995</v>
      </c>
    </row>
    <row r="7" spans="1:35">
      <c r="A7" s="571" t="s">
        <v>231</v>
      </c>
      <c r="B7" s="589" t="s">
        <v>397</v>
      </c>
      <c r="C7" s="574">
        <f>('Meteorological data'!E8-'Meteorological data'!E4)/'Meteorological data'!E31</f>
        <v>0</v>
      </c>
      <c r="D7" s="574">
        <f>('Meteorological data'!E14-'Meteorological data'!E8)/'Meteorological data'!E31</f>
        <v>5.8820364757993654E-3</v>
      </c>
      <c r="E7" s="574">
        <f>('Meteorological data'!E20-'Meteorological data'!E14)/'Meteorological data'!E31</f>
        <v>0.30193856141168873</v>
      </c>
      <c r="F7" s="574">
        <f>('Meteorological data'!E25-'Meteorological data'!E20)/'Meteorological data'!E31</f>
        <v>0.46292344386062445</v>
      </c>
      <c r="G7" s="574">
        <f>('Meteorological data'!E31-'Meteorological data'!E25)/'Meteorological data'!E31</f>
        <v>0.22925595825188747</v>
      </c>
      <c r="H7" s="574">
        <f t="shared" ref="H7:H12" si="12">SUM(C7:G7)</f>
        <v>1</v>
      </c>
      <c r="J7" s="577"/>
      <c r="L7" s="577"/>
      <c r="N7" s="572"/>
      <c r="O7" s="582">
        <f t="shared" si="3"/>
        <v>-9</v>
      </c>
      <c r="P7" s="583">
        <f>'Meteorological data'!F7</f>
        <v>0</v>
      </c>
      <c r="Q7" s="583">
        <f>'Meteorological data'!G7</f>
        <v>0</v>
      </c>
      <c r="R7" s="584">
        <v>0</v>
      </c>
      <c r="S7" s="585">
        <f t="shared" ca="1" si="0"/>
        <v>0</v>
      </c>
      <c r="T7" s="585" t="e">
        <f t="shared" ca="1" si="4"/>
        <v>#VALUE!</v>
      </c>
      <c r="U7" s="585">
        <f t="shared" ca="1" si="5"/>
        <v>0</v>
      </c>
      <c r="V7" s="585" t="e">
        <f t="shared" ca="1" si="1"/>
        <v>#VALUE!</v>
      </c>
      <c r="W7" s="574" t="e">
        <f t="shared" ca="1" si="2"/>
        <v>#VALUE!</v>
      </c>
      <c r="X7" s="574">
        <f t="shared" ca="1" si="6"/>
        <v>0</v>
      </c>
      <c r="Y7" s="585" t="e">
        <f t="shared" ca="1" si="7"/>
        <v>#VALUE!</v>
      </c>
      <c r="Z7" s="585" t="e">
        <f t="shared" ca="1" si="8"/>
        <v>#VALUE!</v>
      </c>
      <c r="AA7" s="585" t="e">
        <f t="shared" ca="1" si="9"/>
        <v>#VALUE!</v>
      </c>
      <c r="AB7" s="585" t="e">
        <f t="shared" ca="1" si="10"/>
        <v>#VALUE!</v>
      </c>
      <c r="AC7" s="586" t="e">
        <f t="shared" ca="1" si="11"/>
        <v>#VALUE!</v>
      </c>
      <c r="AF7" s="571">
        <v>0.3</v>
      </c>
      <c r="AG7" s="571">
        <v>0.19</v>
      </c>
      <c r="AH7" s="571">
        <v>0.34</v>
      </c>
      <c r="AI7" s="571">
        <v>0.49</v>
      </c>
    </row>
    <row r="8" spans="1:35">
      <c r="A8" s="572" t="s">
        <v>232</v>
      </c>
      <c r="B8" s="589" t="s">
        <v>398</v>
      </c>
      <c r="C8" s="574">
        <f ca="1">IF($E$94="No",$E$103*C7,(($E$103*$E$97/$E$96))*C7)</f>
        <v>0</v>
      </c>
      <c r="D8" s="574">
        <f ca="1">IF($E$94="No",$E$103*D7,(($E$103*$E$97/$E$96))*D7)</f>
        <v>0</v>
      </c>
      <c r="E8" s="574">
        <f ca="1">IF($E$94="No",$E$103*E7,(($E$103*$E$97/$E$96))*E7)</f>
        <v>0</v>
      </c>
      <c r="F8" s="574">
        <f ca="1">IF($E$94="No",$E$103*F7,(($E$103*$E$97/$E$96))*F7)</f>
        <v>0</v>
      </c>
      <c r="G8" s="574">
        <f ca="1">IF($E$94="No",$E$103*G7,(($E$103*$E$97/$E$96))*G7)</f>
        <v>0</v>
      </c>
      <c r="H8" s="574">
        <f t="shared" ca="1" si="12"/>
        <v>0</v>
      </c>
      <c r="J8" s="577"/>
      <c r="K8" s="572"/>
      <c r="M8" s="572"/>
      <c r="O8" s="582">
        <f t="shared" si="3"/>
        <v>-8</v>
      </c>
      <c r="P8" s="583">
        <f>'Meteorological data'!F8</f>
        <v>0</v>
      </c>
      <c r="Q8" s="583">
        <f>'Meteorological data'!G8</f>
        <v>0</v>
      </c>
      <c r="R8" s="584">
        <v>0</v>
      </c>
      <c r="S8" s="585">
        <f t="shared" ca="1" si="0"/>
        <v>0</v>
      </c>
      <c r="T8" s="585" t="e">
        <f t="shared" ca="1" si="4"/>
        <v>#VALUE!</v>
      </c>
      <c r="U8" s="585">
        <f t="shared" ca="1" si="5"/>
        <v>0</v>
      </c>
      <c r="V8" s="585" t="e">
        <f t="shared" ca="1" si="1"/>
        <v>#VALUE!</v>
      </c>
      <c r="W8" s="574" t="e">
        <f t="shared" ca="1" si="2"/>
        <v>#VALUE!</v>
      </c>
      <c r="X8" s="574">
        <f ca="1">(($X$9-$N$4)/($O$9-$M$4))*(O8-$M$4)+$N$4</f>
        <v>0</v>
      </c>
      <c r="Y8" s="585" t="e">
        <f t="shared" ca="1" si="7"/>
        <v>#VALUE!</v>
      </c>
      <c r="Z8" s="585" t="e">
        <f t="shared" ca="1" si="8"/>
        <v>#VALUE!</v>
      </c>
      <c r="AA8" s="585" t="e">
        <f t="shared" ca="1" si="9"/>
        <v>#VALUE!</v>
      </c>
      <c r="AB8" s="585" t="e">
        <f t="shared" ca="1" si="10"/>
        <v>#VALUE!</v>
      </c>
      <c r="AC8" s="586" t="e">
        <f t="shared" ca="1" si="11"/>
        <v>#VALUE!</v>
      </c>
      <c r="AF8" s="571">
        <v>0.35</v>
      </c>
      <c r="AG8" s="571">
        <v>0.12</v>
      </c>
      <c r="AH8" s="571">
        <v>0.27</v>
      </c>
      <c r="AI8" s="571">
        <v>0.42</v>
      </c>
    </row>
    <row r="9" spans="1:35">
      <c r="A9" s="572" t="s">
        <v>217</v>
      </c>
      <c r="B9" s="589" t="s">
        <v>399</v>
      </c>
      <c r="C9" s="571">
        <f>('Meteorological data'!C8-'Meteorological data'!C4)</f>
        <v>0</v>
      </c>
      <c r="D9" s="571">
        <f>('Meteorological data'!C14-'Meteorological data'!C8)</f>
        <v>18</v>
      </c>
      <c r="E9" s="571">
        <f>('Meteorological data'!C20-'Meteorological data'!C14)</f>
        <v>1247</v>
      </c>
      <c r="F9" s="571">
        <f>('Meteorological data'!C25-'Meteorological data'!C20)</f>
        <v>2933</v>
      </c>
      <c r="G9" s="571">
        <f>('Meteorological data'!C51-'Meteorological data'!C25)</f>
        <v>4562</v>
      </c>
      <c r="H9" s="574">
        <f t="shared" si="12"/>
        <v>8760</v>
      </c>
      <c r="J9" s="577"/>
      <c r="K9" s="577"/>
      <c r="M9" s="577"/>
      <c r="O9" s="590">
        <f t="shared" si="3"/>
        <v>-7</v>
      </c>
      <c r="P9" s="591">
        <f>'Meteorological data'!F9</f>
        <v>0</v>
      </c>
      <c r="Q9" s="591">
        <f>'Meteorological data'!G9</f>
        <v>0</v>
      </c>
      <c r="R9" s="592">
        <v>0</v>
      </c>
      <c r="S9" s="593">
        <f t="shared" ca="1" si="0"/>
        <v>0</v>
      </c>
      <c r="T9" s="593" t="e">
        <f t="shared" ca="1" si="4"/>
        <v>#VALUE!</v>
      </c>
      <c r="U9" s="593">
        <f t="shared" ca="1" si="5"/>
        <v>0</v>
      </c>
      <c r="V9" s="585" t="e">
        <f t="shared" ca="1" si="1"/>
        <v>#VALUE!</v>
      </c>
      <c r="W9" s="594" t="e">
        <f t="shared" ca="1" si="2"/>
        <v>#VALUE!</v>
      </c>
      <c r="X9" s="594">
        <f ca="1">D41</f>
        <v>0</v>
      </c>
      <c r="Y9" s="593" t="e">
        <f t="shared" ca="1" si="7"/>
        <v>#VALUE!</v>
      </c>
      <c r="Z9" s="593" t="e">
        <f t="shared" ca="1" si="8"/>
        <v>#VALUE!</v>
      </c>
      <c r="AA9" s="593" t="e">
        <f t="shared" ca="1" si="9"/>
        <v>#VALUE!</v>
      </c>
      <c r="AB9" s="593" t="e">
        <f t="shared" ca="1" si="10"/>
        <v>#VALUE!</v>
      </c>
      <c r="AC9" s="595" t="e">
        <f t="shared" ca="1" si="11"/>
        <v>#VALUE!</v>
      </c>
      <c r="AF9" s="571">
        <v>0.4</v>
      </c>
      <c r="AG9" s="571">
        <v>0.06</v>
      </c>
      <c r="AH9" s="571">
        <v>0.2</v>
      </c>
      <c r="AI9" s="571">
        <v>0.35</v>
      </c>
    </row>
    <row r="10" spans="1:35">
      <c r="A10" s="572" t="s">
        <v>218</v>
      </c>
      <c r="B10" s="589" t="s">
        <v>400</v>
      </c>
      <c r="C10" s="571">
        <f ca="1">C9*((24-$E$112)/24)</f>
        <v>0</v>
      </c>
      <c r="D10" s="571">
        <f ca="1">D9*((24-$E$112)/24)</f>
        <v>6</v>
      </c>
      <c r="E10" s="571">
        <f ca="1">E9*((24-$E$112)/24)</f>
        <v>415.66666666666663</v>
      </c>
      <c r="F10" s="571">
        <f ca="1">F9*((24-$E$112)/24)</f>
        <v>977.66666666666663</v>
      </c>
      <c r="G10" s="571">
        <f ca="1">G9*((24-$E$112)/24)</f>
        <v>1520.6666666666665</v>
      </c>
      <c r="H10" s="574">
        <f t="shared" ca="1" si="12"/>
        <v>2920</v>
      </c>
      <c r="J10" s="577"/>
      <c r="K10" s="572"/>
      <c r="M10" s="572"/>
      <c r="O10" s="582">
        <f t="shared" si="3"/>
        <v>-6</v>
      </c>
      <c r="P10" s="583">
        <f>'Meteorological data'!F10</f>
        <v>0</v>
      </c>
      <c r="Q10" s="583">
        <f>'Meteorological data'!G10</f>
        <v>0</v>
      </c>
      <c r="R10" s="584">
        <v>0</v>
      </c>
      <c r="S10" s="585">
        <f t="shared" ca="1" si="0"/>
        <v>0</v>
      </c>
      <c r="T10" s="585" t="e">
        <f t="shared" ca="1" si="4"/>
        <v>#VALUE!</v>
      </c>
      <c r="U10" s="585">
        <f t="shared" ca="1" si="5"/>
        <v>0</v>
      </c>
      <c r="V10" s="585" t="e">
        <f t="shared" ca="1" si="1"/>
        <v>#VALUE!</v>
      </c>
      <c r="W10" s="574" t="e">
        <f t="shared" ca="1" si="2"/>
        <v>#VALUE!</v>
      </c>
      <c r="X10" s="574">
        <f ca="1">(($X$18-$X$9)/($O$18-$O$9))*(O10-$O$9)+$X$9</f>
        <v>0</v>
      </c>
      <c r="Y10" s="585" t="e">
        <f t="shared" ca="1" si="7"/>
        <v>#VALUE!</v>
      </c>
      <c r="Z10" s="585" t="e">
        <f t="shared" ca="1" si="8"/>
        <v>#VALUE!</v>
      </c>
      <c r="AA10" s="585" t="e">
        <f t="shared" ca="1" si="9"/>
        <v>#VALUE!</v>
      </c>
      <c r="AB10" s="585" t="e">
        <f t="shared" ca="1" si="10"/>
        <v>#VALUE!</v>
      </c>
      <c r="AC10" s="586" t="e">
        <f t="shared" ca="1" si="11"/>
        <v>#VALUE!</v>
      </c>
      <c r="AF10" s="571">
        <v>0.45</v>
      </c>
      <c r="AG10" s="571">
        <v>0.03</v>
      </c>
      <c r="AH10" s="571">
        <v>0.14000000000000001</v>
      </c>
      <c r="AI10" s="571">
        <v>0.28999999999999998</v>
      </c>
    </row>
    <row r="11" spans="1:35">
      <c r="A11" s="571" t="s">
        <v>233</v>
      </c>
      <c r="B11" s="589" t="s">
        <v>401</v>
      </c>
      <c r="C11" s="574">
        <f ca="1">C10/$H$10</f>
        <v>0</v>
      </c>
      <c r="D11" s="574">
        <f ca="1">D10/$H$10</f>
        <v>2.054794520547945E-3</v>
      </c>
      <c r="E11" s="574">
        <f ca="1">E10/$H$10</f>
        <v>0.14235159817351598</v>
      </c>
      <c r="F11" s="574">
        <f ca="1">F10/$H$10</f>
        <v>0.3348173515981735</v>
      </c>
      <c r="G11" s="574">
        <f ca="1">G10/$H$10</f>
        <v>0.52077625570776254</v>
      </c>
      <c r="H11" s="574">
        <f t="shared" ca="1" si="12"/>
        <v>1</v>
      </c>
      <c r="J11" s="578"/>
      <c r="O11" s="582">
        <f t="shared" si="3"/>
        <v>-5</v>
      </c>
      <c r="P11" s="583">
        <f>'Meteorological data'!F11</f>
        <v>0</v>
      </c>
      <c r="Q11" s="583">
        <f>'Meteorological data'!G11</f>
        <v>0</v>
      </c>
      <c r="R11" s="584">
        <v>0</v>
      </c>
      <c r="S11" s="585">
        <f t="shared" ca="1" si="0"/>
        <v>0</v>
      </c>
      <c r="T11" s="585" t="e">
        <f t="shared" ca="1" si="4"/>
        <v>#VALUE!</v>
      </c>
      <c r="U11" s="585">
        <f t="shared" ca="1" si="5"/>
        <v>0</v>
      </c>
      <c r="V11" s="585" t="e">
        <f t="shared" ca="1" si="1"/>
        <v>#VALUE!</v>
      </c>
      <c r="W11" s="574" t="e">
        <f t="shared" ca="1" si="2"/>
        <v>#VALUE!</v>
      </c>
      <c r="X11" s="574">
        <f t="shared" ref="X11:X17" ca="1" si="13">(($X$18-$X$9)/($O$18-$O$9))*(O11-$O$9)+$X$9</f>
        <v>0</v>
      </c>
      <c r="Y11" s="585" t="e">
        <f t="shared" ca="1" si="7"/>
        <v>#VALUE!</v>
      </c>
      <c r="Z11" s="585" t="e">
        <f t="shared" ca="1" si="8"/>
        <v>#VALUE!</v>
      </c>
      <c r="AA11" s="585" t="e">
        <f t="shared" ca="1" si="9"/>
        <v>#VALUE!</v>
      </c>
      <c r="AB11" s="585" t="e">
        <f t="shared" ca="1" si="10"/>
        <v>#VALUE!</v>
      </c>
      <c r="AC11" s="586" t="e">
        <f t="shared" ca="1" si="11"/>
        <v>#VALUE!</v>
      </c>
      <c r="AF11" s="571">
        <v>0.5</v>
      </c>
      <c r="AG11" s="571">
        <v>0.01</v>
      </c>
      <c r="AH11" s="571">
        <v>0.09</v>
      </c>
      <c r="AI11" s="571">
        <v>0.24</v>
      </c>
    </row>
    <row r="12" spans="1:35">
      <c r="A12" s="572" t="s">
        <v>234</v>
      </c>
      <c r="B12" s="589" t="s">
        <v>402</v>
      </c>
      <c r="C12" s="574">
        <f ca="1">IF($E$94="No",$E$135*C11,(($E$135*$E$97/$E$96))*C11)</f>
        <v>0</v>
      </c>
      <c r="D12" s="574">
        <f ca="1">IF($E$94="No",$E$135*D11,(($E$135*$E$97/$E$96))*D11)</f>
        <v>0</v>
      </c>
      <c r="E12" s="574">
        <f ca="1">IF($E$94="No",$E$135*E11,(($E$135*$E$97/$E$96))*E11)</f>
        <v>0</v>
      </c>
      <c r="F12" s="574">
        <f ca="1">IF($E$94="No",$E$135*F11,(($E$135*$E$97/$E$96))*F11)</f>
        <v>0</v>
      </c>
      <c r="G12" s="574">
        <f ca="1">IF($E$94="No",$E$135*G11,(($E$135*$E$97/$E$96))*G11)</f>
        <v>0</v>
      </c>
      <c r="H12" s="574">
        <f t="shared" ca="1" si="12"/>
        <v>0</v>
      </c>
      <c r="I12" s="572"/>
      <c r="J12" s="577"/>
      <c r="K12" s="572"/>
      <c r="M12" s="572"/>
      <c r="N12" s="572"/>
      <c r="O12" s="582">
        <f t="shared" si="3"/>
        <v>-4</v>
      </c>
      <c r="P12" s="583">
        <f>'Meteorological data'!F12</f>
        <v>0</v>
      </c>
      <c r="Q12" s="583">
        <f>'Meteorological data'!G12</f>
        <v>0</v>
      </c>
      <c r="R12" s="584">
        <v>0</v>
      </c>
      <c r="S12" s="585">
        <f t="shared" ca="1" si="0"/>
        <v>0</v>
      </c>
      <c r="T12" s="585" t="e">
        <f t="shared" ca="1" si="4"/>
        <v>#VALUE!</v>
      </c>
      <c r="U12" s="585">
        <f t="shared" ca="1" si="5"/>
        <v>0</v>
      </c>
      <c r="V12" s="585" t="e">
        <f t="shared" ca="1" si="1"/>
        <v>#VALUE!</v>
      </c>
      <c r="W12" s="574" t="e">
        <f t="shared" ca="1" si="2"/>
        <v>#VALUE!</v>
      </c>
      <c r="X12" s="574">
        <f t="shared" ca="1" si="13"/>
        <v>0</v>
      </c>
      <c r="Y12" s="585" t="e">
        <f t="shared" ca="1" si="7"/>
        <v>#VALUE!</v>
      </c>
      <c r="Z12" s="585" t="e">
        <f t="shared" ca="1" si="8"/>
        <v>#VALUE!</v>
      </c>
      <c r="AA12" s="585" t="e">
        <f t="shared" ca="1" si="9"/>
        <v>#VALUE!</v>
      </c>
      <c r="AB12" s="585" t="e">
        <f t="shared" ca="1" si="10"/>
        <v>#VALUE!</v>
      </c>
      <c r="AC12" s="586" t="e">
        <f t="shared" ca="1" si="11"/>
        <v>#VALUE!</v>
      </c>
      <c r="AF12" s="571">
        <v>0.55000000000000004</v>
      </c>
      <c r="AG12" s="571">
        <v>0</v>
      </c>
      <c r="AH12" s="571">
        <v>0.06</v>
      </c>
      <c r="AI12" s="571">
        <v>0.19</v>
      </c>
    </row>
    <row r="13" spans="1:35">
      <c r="A13" s="571" t="s">
        <v>1</v>
      </c>
      <c r="B13" s="571" t="s">
        <v>1</v>
      </c>
      <c r="J13" s="577"/>
      <c r="O13" s="582">
        <f t="shared" si="3"/>
        <v>-3</v>
      </c>
      <c r="P13" s="583">
        <f>'Meteorological data'!F13</f>
        <v>1.3629108907339993E-3</v>
      </c>
      <c r="Q13" s="583">
        <f>'Meteorological data'!G13</f>
        <v>4.5662100456621003E-4</v>
      </c>
      <c r="R13" s="584">
        <v>4</v>
      </c>
      <c r="S13" s="585">
        <f t="shared" ca="1" si="0"/>
        <v>1.3333333333333333</v>
      </c>
      <c r="T13" s="585" t="e">
        <f t="shared" ca="1" si="4"/>
        <v>#VALUE!</v>
      </c>
      <c r="U13" s="585">
        <f t="shared" ca="1" si="5"/>
        <v>0</v>
      </c>
      <c r="V13" s="585" t="e">
        <f t="shared" ca="1" si="1"/>
        <v>#VALUE!</v>
      </c>
      <c r="W13" s="574" t="e">
        <f t="shared" ca="1" si="2"/>
        <v>#VALUE!</v>
      </c>
      <c r="X13" s="574">
        <f t="shared" ca="1" si="13"/>
        <v>0</v>
      </c>
      <c r="Y13" s="585" t="e">
        <f ca="1">V13/X13</f>
        <v>#VALUE!</v>
      </c>
      <c r="Z13" s="585" t="e">
        <f ca="1">IF((Y13-S13)&lt;0,0,(Y13-S13))</f>
        <v>#VALUE!</v>
      </c>
      <c r="AA13" s="585" t="e">
        <f t="shared" ca="1" si="9"/>
        <v>#VALUE!</v>
      </c>
      <c r="AB13" s="585" t="e">
        <f t="shared" ca="1" si="10"/>
        <v>#VALUE!</v>
      </c>
      <c r="AC13" s="586" t="e">
        <f t="shared" ca="1" si="11"/>
        <v>#VALUE!</v>
      </c>
      <c r="AF13" s="571">
        <v>0.6</v>
      </c>
      <c r="AG13" s="571">
        <v>0</v>
      </c>
      <c r="AH13" s="571">
        <v>0.03</v>
      </c>
      <c r="AI13" s="571">
        <v>0.15</v>
      </c>
    </row>
    <row r="14" spans="1:35">
      <c r="A14" s="573" t="s">
        <v>235</v>
      </c>
      <c r="C14" s="574">
        <f ca="1">E101</f>
        <v>0</v>
      </c>
      <c r="D14" s="571">
        <v>-7</v>
      </c>
      <c r="E14" s="571">
        <v>2</v>
      </c>
      <c r="F14" s="571">
        <v>7</v>
      </c>
      <c r="G14" s="571">
        <v>12</v>
      </c>
      <c r="J14" s="577"/>
      <c r="O14" s="582">
        <f t="shared" si="3"/>
        <v>-2</v>
      </c>
      <c r="P14" s="583">
        <f>'Meteorological data'!F14</f>
        <v>4.5191255850653657E-3</v>
      </c>
      <c r="Q14" s="583">
        <f>'Meteorological data'!G14</f>
        <v>1.5981735159817352E-3</v>
      </c>
      <c r="R14" s="584">
        <v>14</v>
      </c>
      <c r="S14" s="585">
        <f t="shared" ca="1" si="0"/>
        <v>4.6666666666666661</v>
      </c>
      <c r="T14" s="585" t="e">
        <f t="shared" ca="1" si="4"/>
        <v>#VALUE!</v>
      </c>
      <c r="U14" s="585">
        <f ca="1">$U$1*Q14</f>
        <v>0</v>
      </c>
      <c r="V14" s="585" t="e">
        <f t="shared" ca="1" si="1"/>
        <v>#VALUE!</v>
      </c>
      <c r="W14" s="574" t="e">
        <f t="shared" ca="1" si="2"/>
        <v>#VALUE!</v>
      </c>
      <c r="X14" s="574">
        <f t="shared" ca="1" si="13"/>
        <v>0</v>
      </c>
      <c r="Y14" s="585" t="e">
        <f ca="1">V14/X14</f>
        <v>#VALUE!</v>
      </c>
      <c r="Z14" s="585" t="e">
        <f ca="1">IF((Y14-S14)&lt;0,0,(Y14-S14))</f>
        <v>#VALUE!</v>
      </c>
      <c r="AA14" s="585" t="e">
        <f t="shared" ca="1" si="9"/>
        <v>#VALUE!</v>
      </c>
      <c r="AB14" s="585" t="e">
        <f t="shared" ca="1" si="10"/>
        <v>#VALUE!</v>
      </c>
      <c r="AC14" s="586" t="e">
        <f t="shared" ca="1" si="11"/>
        <v>#VALUE!</v>
      </c>
      <c r="AF14" s="571">
        <v>0.65</v>
      </c>
      <c r="AG14" s="571">
        <v>0</v>
      </c>
      <c r="AH14" s="571">
        <v>0.02</v>
      </c>
      <c r="AI14" s="571">
        <v>0.11</v>
      </c>
    </row>
    <row r="15" spans="1:35" ht="15.75">
      <c r="A15" s="596" t="str">
        <f ca="1">$E119&amp;" (oC)"</f>
        <v>Low Temperature (oC)</v>
      </c>
      <c r="B15" s="597" t="str">
        <f ca="1">"Based on test data according to "&amp;$E$100</f>
        <v>Based on test data according to I.S. EN 14825</v>
      </c>
      <c r="C15" s="598">
        <f ca="1">IF($E$128="Yes",IF($E$99="Variable Outlet",35,35),0)</f>
        <v>0</v>
      </c>
      <c r="D15" s="598">
        <f ca="1">IF($E$128="Yes",IF($E$99="Variable Outlet",34,35),0)</f>
        <v>0</v>
      </c>
      <c r="E15" s="598">
        <f ca="1">IF($E$128="Yes",IF($E$99="Variable Outlet",30,35),0)</f>
        <v>0</v>
      </c>
      <c r="F15" s="598">
        <f ca="1">IF($E$128="Yes",IF($E$99="Variable Outlet",27,35),0)</f>
        <v>0</v>
      </c>
      <c r="G15" s="599">
        <f ca="1">IF($E$128="Yes",IF($E$99="Variable Outlet",24,35),0)</f>
        <v>0</v>
      </c>
      <c r="I15" s="49"/>
      <c r="J15" s="577"/>
      <c r="K15" s="572"/>
      <c r="M15" s="572"/>
      <c r="O15" s="582">
        <f t="shared" si="3"/>
        <v>-1</v>
      </c>
      <c r="P15" s="583">
        <f>'Meteorological data'!F15</f>
        <v>1.3413912450908309E-2</v>
      </c>
      <c r="Q15" s="583">
        <f>'Meteorological data'!G15</f>
        <v>5.0228310502283104E-3</v>
      </c>
      <c r="R15" s="584">
        <v>44</v>
      </c>
      <c r="S15" s="585">
        <f t="shared" ca="1" si="0"/>
        <v>14.666666666666666</v>
      </c>
      <c r="T15" s="585" t="e">
        <f t="shared" ca="1" si="4"/>
        <v>#VALUE!</v>
      </c>
      <c r="U15" s="585">
        <f t="shared" ca="1" si="5"/>
        <v>0</v>
      </c>
      <c r="V15" s="585" t="e">
        <f t="shared" ca="1" si="1"/>
        <v>#VALUE!</v>
      </c>
      <c r="W15" s="574" t="e">
        <f t="shared" ca="1" si="2"/>
        <v>#VALUE!</v>
      </c>
      <c r="X15" s="574">
        <f t="shared" ca="1" si="13"/>
        <v>0</v>
      </c>
      <c r="Y15" s="585" t="e">
        <f t="shared" ca="1" si="7"/>
        <v>#VALUE!</v>
      </c>
      <c r="Z15" s="585" t="e">
        <f ca="1">IF((Y15-S15)&lt;0,0,(Y15-S15))</f>
        <v>#VALUE!</v>
      </c>
      <c r="AA15" s="585" t="e">
        <f t="shared" ca="1" si="9"/>
        <v>#VALUE!</v>
      </c>
      <c r="AB15" s="585" t="e">
        <f t="shared" ca="1" si="10"/>
        <v>#VALUE!</v>
      </c>
      <c r="AC15" s="586" t="e">
        <f t="shared" ca="1" si="11"/>
        <v>#VALUE!</v>
      </c>
      <c r="AF15" s="571">
        <v>0.7</v>
      </c>
      <c r="AG15" s="571">
        <v>0</v>
      </c>
      <c r="AH15" s="571">
        <v>0.01</v>
      </c>
      <c r="AI15" s="571">
        <v>0.09</v>
      </c>
    </row>
    <row r="16" spans="1:35" ht="15.75">
      <c r="A16" s="589" t="str">
        <f t="shared" ref="A16:A18" ca="1" si="14">$E120&amp;" (oC)"</f>
        <v>Medium Temperature (oC)</v>
      </c>
      <c r="B16" s="600" t="str">
        <f ca="1">$B$15</f>
        <v>Based on test data according to I.S. EN 14825</v>
      </c>
      <c r="C16" s="601">
        <f ca="1">IF($E$129="Yes",IF($E$99="Variable Outlet",45,45),0)</f>
        <v>0</v>
      </c>
      <c r="D16" s="601">
        <f ca="1">IF($E$129="Yes",IF($E$99="Variable Outlet",43,45),0)</f>
        <v>0</v>
      </c>
      <c r="E16" s="601">
        <f ca="1">IF($E$129="Yes",IF($E$99="Variable Outlet",37,45),0)</f>
        <v>0</v>
      </c>
      <c r="F16" s="601">
        <f ca="1">IF($E$129="Yes",IF($E$99="Variable Outlet",33,45),0)</f>
        <v>0</v>
      </c>
      <c r="G16" s="602">
        <f ca="1">IF($E$129="Yes",IF($E$99="Variable Outlet",28,45),0)</f>
        <v>0</v>
      </c>
      <c r="I16" s="49"/>
      <c r="J16" s="577"/>
      <c r="O16" s="582">
        <f t="shared" si="3"/>
        <v>0</v>
      </c>
      <c r="P16" s="583">
        <f>'Meteorological data'!F16</f>
        <v>3.2136004160464825E-2</v>
      </c>
      <c r="Q16" s="583">
        <f>'Meteorological data'!G16</f>
        <v>1.2785388127853882E-2</v>
      </c>
      <c r="R16" s="584">
        <v>112</v>
      </c>
      <c r="S16" s="585">
        <f t="shared" ca="1" si="0"/>
        <v>37.333333333333329</v>
      </c>
      <c r="T16" s="585" t="e">
        <f t="shared" ca="1" si="4"/>
        <v>#VALUE!</v>
      </c>
      <c r="U16" s="585">
        <f ca="1">$U$1*Q16</f>
        <v>0</v>
      </c>
      <c r="V16" s="585" t="e">
        <f t="shared" ca="1" si="1"/>
        <v>#VALUE!</v>
      </c>
      <c r="W16" s="574" t="e">
        <f t="shared" ca="1" si="2"/>
        <v>#VALUE!</v>
      </c>
      <c r="X16" s="574">
        <f t="shared" ca="1" si="13"/>
        <v>0</v>
      </c>
      <c r="Y16" s="585" t="e">
        <f ca="1">V16/X16</f>
        <v>#VALUE!</v>
      </c>
      <c r="Z16" s="585" t="e">
        <f ca="1">IF((Y16-S16)&lt;0,0,(Y16-S16))</f>
        <v>#VALUE!</v>
      </c>
      <c r="AA16" s="585" t="e">
        <f t="shared" ca="1" si="9"/>
        <v>#VALUE!</v>
      </c>
      <c r="AB16" s="585" t="e">
        <f t="shared" ca="1" si="10"/>
        <v>#VALUE!</v>
      </c>
      <c r="AC16" s="586" t="e">
        <f t="shared" ca="1" si="11"/>
        <v>#VALUE!</v>
      </c>
      <c r="AF16" s="571">
        <v>0.75</v>
      </c>
      <c r="AG16" s="571">
        <v>0</v>
      </c>
      <c r="AH16" s="571">
        <v>0</v>
      </c>
      <c r="AI16" s="571">
        <v>0.05</v>
      </c>
    </row>
    <row r="17" spans="1:35" ht="27.75" customHeight="1">
      <c r="A17" s="589" t="str">
        <f t="shared" ca="1" si="14"/>
        <v>High Temperature (oC)</v>
      </c>
      <c r="B17" s="600" t="str">
        <f ca="1">$B$15</f>
        <v>Based on test data according to I.S. EN 14825</v>
      </c>
      <c r="C17" s="601">
        <f ca="1">IF($E$127="Yes",IF($E$99="Variable Outlet",55,55),0)</f>
        <v>55</v>
      </c>
      <c r="D17" s="601">
        <f ca="1">IF($E$127="Yes",IF($E$99="Variable Outlet",52,55),0)</f>
        <v>55</v>
      </c>
      <c r="E17" s="601">
        <f ca="1">IF($E$127="Yes",IF($E$99="Variable Outlet",42,55),0)</f>
        <v>55</v>
      </c>
      <c r="F17" s="601">
        <f ca="1">IF($E$127="Yes",IF($E$99="Variable Outlet",36,55),0)</f>
        <v>55</v>
      </c>
      <c r="G17" s="602">
        <f ca="1">IF($E$127="Yes",IF($E$99="Variable Outlet",30,55),0)</f>
        <v>55</v>
      </c>
      <c r="I17" s="49" t="s">
        <v>434</v>
      </c>
      <c r="J17" s="577"/>
      <c r="O17" s="582">
        <f t="shared" si="3"/>
        <v>1</v>
      </c>
      <c r="P17" s="583">
        <f>'Meteorological data'!F17</f>
        <v>3.927335329878235E-2</v>
      </c>
      <c r="Q17" s="583">
        <f>'Meteorological data'!G17</f>
        <v>1.6666666666666666E-2</v>
      </c>
      <c r="R17" s="584">
        <v>146</v>
      </c>
      <c r="S17" s="585">
        <f t="shared" ca="1" si="0"/>
        <v>48.666666666666664</v>
      </c>
      <c r="T17" s="585" t="e">
        <f t="shared" ca="1" si="4"/>
        <v>#VALUE!</v>
      </c>
      <c r="U17" s="585">
        <f t="shared" ca="1" si="5"/>
        <v>0</v>
      </c>
      <c r="V17" s="585" t="e">
        <f t="shared" ca="1" si="1"/>
        <v>#VALUE!</v>
      </c>
      <c r="W17" s="574" t="e">
        <f t="shared" ca="1" si="2"/>
        <v>#VALUE!</v>
      </c>
      <c r="X17" s="574">
        <f t="shared" ca="1" si="13"/>
        <v>0</v>
      </c>
      <c r="Y17" s="585" t="e">
        <f t="shared" ref="Y17:Y31" ca="1" si="15">V17/X17</f>
        <v>#VALUE!</v>
      </c>
      <c r="Z17" s="585" t="e">
        <f ca="1">IF((Y17-S17)&lt;0,0,(Y17-S17))</f>
        <v>#VALUE!</v>
      </c>
      <c r="AA17" s="585" t="e">
        <f t="shared" ca="1" si="9"/>
        <v>#VALUE!</v>
      </c>
      <c r="AB17" s="585" t="e">
        <f t="shared" ca="1" si="10"/>
        <v>#VALUE!</v>
      </c>
      <c r="AC17" s="586" t="e">
        <f t="shared" ca="1" si="11"/>
        <v>#VALUE!</v>
      </c>
      <c r="AF17" s="571">
        <v>0.8</v>
      </c>
      <c r="AG17" s="571">
        <v>0</v>
      </c>
      <c r="AH17" s="571">
        <v>0</v>
      </c>
      <c r="AI17" s="571">
        <v>0.05</v>
      </c>
    </row>
    <row r="18" spans="1:35" ht="15.75">
      <c r="A18" s="603" t="str">
        <f t="shared" ca="1" si="14"/>
        <v>Very high Temperature (oC)</v>
      </c>
      <c r="B18" s="600" t="str">
        <f ca="1">$B$15</f>
        <v>Based on test data according to I.S. EN 14825</v>
      </c>
      <c r="C18" s="604">
        <f ca="1">IF($E$130="Yes",65,0)</f>
        <v>0</v>
      </c>
      <c r="D18" s="604">
        <f ca="1">IF($E$130="Yes",IF($E$99="Variable Outlet",61,65),0)</f>
        <v>0</v>
      </c>
      <c r="E18" s="604">
        <f ca="1">IF($E$130="Yes",IF($E$99="Variable Outlet",49,65),0)</f>
        <v>0</v>
      </c>
      <c r="F18" s="604">
        <f ca="1">IF($E$130="Yes",IF($E$99="Variable Outlet",41,65),0)</f>
        <v>0</v>
      </c>
      <c r="G18" s="605">
        <f ca="1">IF($E$130="Yes",IF($E$99="Variable Outlet",32,65),0)</f>
        <v>0</v>
      </c>
      <c r="I18" s="50"/>
      <c r="J18" s="577"/>
      <c r="K18" s="572"/>
      <c r="M18" s="572"/>
      <c r="O18" s="590">
        <f t="shared" si="3"/>
        <v>2</v>
      </c>
      <c r="P18" s="591">
        <f>'Meteorological data'!F18</f>
        <v>5.5735882215806179E-2</v>
      </c>
      <c r="Q18" s="591">
        <f>'Meteorological data'!G18</f>
        <v>2.5342465753424658E-2</v>
      </c>
      <c r="R18" s="592">
        <v>222</v>
      </c>
      <c r="S18" s="593">
        <f t="shared" ca="1" si="0"/>
        <v>74</v>
      </c>
      <c r="T18" s="593" t="e">
        <f t="shared" ca="1" si="4"/>
        <v>#VALUE!</v>
      </c>
      <c r="U18" s="593">
        <f t="shared" ca="1" si="5"/>
        <v>0</v>
      </c>
      <c r="V18" s="585" t="e">
        <f t="shared" ca="1" si="1"/>
        <v>#VALUE!</v>
      </c>
      <c r="W18" s="594" t="e">
        <f t="shared" ca="1" si="2"/>
        <v>#VALUE!</v>
      </c>
      <c r="X18" s="594">
        <f ca="1">E41</f>
        <v>0</v>
      </c>
      <c r="Y18" s="593" t="e">
        <f ca="1">V18/X18</f>
        <v>#VALUE!</v>
      </c>
      <c r="Z18" s="593" t="e">
        <f t="shared" ca="1" si="8"/>
        <v>#VALUE!</v>
      </c>
      <c r="AA18" s="593" t="e">
        <f t="shared" ca="1" si="9"/>
        <v>#VALUE!</v>
      </c>
      <c r="AB18" s="585" t="e">
        <f t="shared" ca="1" si="10"/>
        <v>#VALUE!</v>
      </c>
      <c r="AC18" s="586" t="e">
        <f t="shared" ca="1" si="11"/>
        <v>#VALUE!</v>
      </c>
      <c r="AF18" s="571">
        <v>0.85</v>
      </c>
      <c r="AG18" s="571">
        <v>0</v>
      </c>
      <c r="AH18" s="571">
        <v>0</v>
      </c>
      <c r="AI18" s="571">
        <v>0.03</v>
      </c>
    </row>
    <row r="19" spans="1:35" ht="15.75">
      <c r="A19" s="596" t="str">
        <f ca="1">$E119&amp;" COP  (kW/kW)"</f>
        <v>Low Temperature COP  (kW/kW)</v>
      </c>
      <c r="B19" s="597" t="str">
        <f t="shared" ref="B19:B26" ca="1" si="16">$B$15</f>
        <v>Based on test data according to I.S. EN 14825</v>
      </c>
      <c r="C19" s="606">
        <f ca="1">INDEX($C$154:$G$161,MATCH($A19,$A$154:$A$161,0),MATCH(C$27,$C$152:$G$152,0))</f>
        <v>0</v>
      </c>
      <c r="D19" s="606">
        <f t="shared" ref="D19:G26" ca="1" si="17">INDEX($C$154:$G$161,MATCH($A19,$A$154:$A$161,0),MATCH(D$27,$C$152:$G$152,0))</f>
        <v>0</v>
      </c>
      <c r="E19" s="606">
        <f t="shared" ca="1" si="17"/>
        <v>0</v>
      </c>
      <c r="F19" s="606">
        <f t="shared" ca="1" si="17"/>
        <v>0</v>
      </c>
      <c r="G19" s="607">
        <f t="shared" ca="1" si="17"/>
        <v>0</v>
      </c>
      <c r="I19" s="49" t="s">
        <v>435</v>
      </c>
      <c r="J19" s="577"/>
      <c r="K19" s="572"/>
      <c r="M19" s="572"/>
      <c r="O19" s="582">
        <f t="shared" si="3"/>
        <v>3</v>
      </c>
      <c r="P19" s="583">
        <f>'Meteorological data'!F19</f>
        <v>7.5300826713053465E-2</v>
      </c>
      <c r="Q19" s="583">
        <f>'Meteorological data'!G19</f>
        <v>3.6872146118721458E-2</v>
      </c>
      <c r="R19" s="584">
        <v>323</v>
      </c>
      <c r="S19" s="585">
        <f t="shared" ca="1" si="0"/>
        <v>107.66666666666666</v>
      </c>
      <c r="T19" s="585" t="e">
        <f t="shared" ca="1" si="4"/>
        <v>#VALUE!</v>
      </c>
      <c r="U19" s="585">
        <f t="shared" ca="1" si="5"/>
        <v>0</v>
      </c>
      <c r="V19" s="585" t="e">
        <f t="shared" ca="1" si="1"/>
        <v>#VALUE!</v>
      </c>
      <c r="W19" s="574" t="e">
        <f t="shared" ca="1" si="2"/>
        <v>#VALUE!</v>
      </c>
      <c r="X19" s="574">
        <f ca="1">(($X$23-$X$18)/($O$23-$O$18))*(O19-$O$18)+$X$18</f>
        <v>0</v>
      </c>
      <c r="Y19" s="585" t="e">
        <f ca="1">V19/X19</f>
        <v>#VALUE!</v>
      </c>
      <c r="Z19" s="585" t="e">
        <f ca="1">IF((Y19-S19)&lt;0,0,(Y19-S19))</f>
        <v>#VALUE!</v>
      </c>
      <c r="AA19" s="585" t="e">
        <f t="shared" ca="1" si="9"/>
        <v>#VALUE!</v>
      </c>
      <c r="AB19" s="585" t="e">
        <f t="shared" ca="1" si="10"/>
        <v>#VALUE!</v>
      </c>
      <c r="AC19" s="586" t="e">
        <f t="shared" ca="1" si="11"/>
        <v>#VALUE!</v>
      </c>
      <c r="AF19" s="571">
        <v>0.9</v>
      </c>
      <c r="AG19" s="571">
        <v>0</v>
      </c>
      <c r="AH19" s="571">
        <v>0</v>
      </c>
      <c r="AI19" s="571">
        <v>0.02</v>
      </c>
    </row>
    <row r="20" spans="1:35" ht="15.75">
      <c r="A20" s="589" t="str">
        <f t="shared" ref="A20:A22" ca="1" si="18">$E120&amp;" COP  (kW/kW)"</f>
        <v>Medium Temperature COP  (kW/kW)</v>
      </c>
      <c r="B20" s="600" t="str">
        <f t="shared" ca="1" si="16"/>
        <v>Based on test data according to I.S. EN 14825</v>
      </c>
      <c r="C20" s="608">
        <f t="shared" ref="C20:C26" ca="1" si="19">INDEX($C$154:$G$161,MATCH($A20,$A$154:$A$161,0),MATCH(C$27,$C$152:$G$152,0))</f>
        <v>0</v>
      </c>
      <c r="D20" s="608">
        <f t="shared" ca="1" si="17"/>
        <v>0</v>
      </c>
      <c r="E20" s="608">
        <f t="shared" ca="1" si="17"/>
        <v>0</v>
      </c>
      <c r="F20" s="608">
        <f t="shared" ca="1" si="17"/>
        <v>0</v>
      </c>
      <c r="G20" s="609">
        <f t="shared" ca="1" si="17"/>
        <v>0</v>
      </c>
      <c r="I20" s="49" t="s">
        <v>435</v>
      </c>
      <c r="J20" s="577"/>
      <c r="O20" s="582">
        <f t="shared" si="3"/>
        <v>4</v>
      </c>
      <c r="P20" s="583">
        <f>'Meteorological data'!F20</f>
        <v>8.6078582572673631E-2</v>
      </c>
      <c r="Q20" s="583">
        <f>'Meteorological data'!G20</f>
        <v>4.5662100456621002E-2</v>
      </c>
      <c r="R20" s="584">
        <v>400</v>
      </c>
      <c r="S20" s="585">
        <f t="shared" ca="1" si="0"/>
        <v>133.33333333333331</v>
      </c>
      <c r="T20" s="585" t="e">
        <f t="shared" ca="1" si="4"/>
        <v>#VALUE!</v>
      </c>
      <c r="U20" s="585">
        <f t="shared" ca="1" si="5"/>
        <v>0</v>
      </c>
      <c r="V20" s="585" t="e">
        <f t="shared" ca="1" si="1"/>
        <v>#VALUE!</v>
      </c>
      <c r="W20" s="574" t="e">
        <f t="shared" ca="1" si="2"/>
        <v>#VALUE!</v>
      </c>
      <c r="X20" s="574">
        <f t="shared" ref="X20:X22" ca="1" si="20">(($X$23-$X$18)/($O$23-$O$18))*(O20-$O$18)+$X$18</f>
        <v>0</v>
      </c>
      <c r="Y20" s="585" t="e">
        <f t="shared" ca="1" si="15"/>
        <v>#VALUE!</v>
      </c>
      <c r="Z20" s="585" t="e">
        <f t="shared" ca="1" si="8"/>
        <v>#VALUE!</v>
      </c>
      <c r="AA20" s="585" t="e">
        <f t="shared" ca="1" si="9"/>
        <v>#VALUE!</v>
      </c>
      <c r="AB20" s="585" t="e">
        <f t="shared" ca="1" si="10"/>
        <v>#VALUE!</v>
      </c>
      <c r="AC20" s="586" t="e">
        <f t="shared" ca="1" si="11"/>
        <v>#VALUE!</v>
      </c>
      <c r="AF20" s="571">
        <v>0.95</v>
      </c>
      <c r="AG20" s="571">
        <v>0</v>
      </c>
      <c r="AH20" s="571">
        <v>0</v>
      </c>
      <c r="AI20" s="571">
        <v>0.01</v>
      </c>
    </row>
    <row r="21" spans="1:35" ht="15.75">
      <c r="A21" s="589" t="str">
        <f t="shared" ca="1" si="18"/>
        <v>High Temperature COP  (kW/kW)</v>
      </c>
      <c r="B21" s="600" t="str">
        <f t="shared" ca="1" si="16"/>
        <v>Based on test data according to I.S. EN 14825</v>
      </c>
      <c r="C21" s="608">
        <f t="shared" ca="1" si="19"/>
        <v>0</v>
      </c>
      <c r="D21" s="608">
        <f t="shared" ca="1" si="17"/>
        <v>0</v>
      </c>
      <c r="E21" s="608">
        <f t="shared" ca="1" si="17"/>
        <v>0</v>
      </c>
      <c r="F21" s="608">
        <f t="shared" ca="1" si="17"/>
        <v>0</v>
      </c>
      <c r="G21" s="609">
        <f t="shared" ca="1" si="17"/>
        <v>0</v>
      </c>
      <c r="I21" s="49" t="s">
        <v>435</v>
      </c>
      <c r="J21" s="577"/>
      <c r="O21" s="582">
        <f t="shared" si="3"/>
        <v>5</v>
      </c>
      <c r="P21" s="583">
        <f>'Meteorological data'!F21</f>
        <v>8.7979484604486846E-2</v>
      </c>
      <c r="Q21" s="583">
        <f>'Meteorological data'!G21</f>
        <v>5.0913242009132421E-2</v>
      </c>
      <c r="R21" s="584">
        <v>446</v>
      </c>
      <c r="S21" s="585">
        <f t="shared" ca="1" si="0"/>
        <v>148.66666666666666</v>
      </c>
      <c r="T21" s="585" t="e">
        <f t="shared" ca="1" si="4"/>
        <v>#VALUE!</v>
      </c>
      <c r="U21" s="585">
        <f t="shared" ca="1" si="5"/>
        <v>0</v>
      </c>
      <c r="V21" s="585" t="e">
        <f t="shared" ca="1" si="1"/>
        <v>#VALUE!</v>
      </c>
      <c r="W21" s="574" t="e">
        <f t="shared" ca="1" si="2"/>
        <v>#VALUE!</v>
      </c>
      <c r="X21" s="574">
        <f t="shared" ca="1" si="20"/>
        <v>0</v>
      </c>
      <c r="Y21" s="585" t="e">
        <f t="shared" ca="1" si="15"/>
        <v>#VALUE!</v>
      </c>
      <c r="Z21" s="585" t="e">
        <f t="shared" ca="1" si="8"/>
        <v>#VALUE!</v>
      </c>
      <c r="AA21" s="585" t="e">
        <f t="shared" ca="1" si="9"/>
        <v>#VALUE!</v>
      </c>
      <c r="AB21" s="585" t="e">
        <f t="shared" ca="1" si="10"/>
        <v>#VALUE!</v>
      </c>
      <c r="AC21" s="586" t="e">
        <f t="shared" ca="1" si="11"/>
        <v>#VALUE!</v>
      </c>
      <c r="AF21" s="571">
        <v>1</v>
      </c>
      <c r="AG21" s="571">
        <v>0</v>
      </c>
      <c r="AH21" s="571">
        <v>0</v>
      </c>
      <c r="AI21" s="571">
        <v>0.01</v>
      </c>
    </row>
    <row r="22" spans="1:35" ht="15.75">
      <c r="A22" s="603" t="str">
        <f t="shared" ca="1" si="18"/>
        <v>Very high Temperature COP  (kW/kW)</v>
      </c>
      <c r="B22" s="600" t="str">
        <f t="shared" ca="1" si="16"/>
        <v>Based on test data according to I.S. EN 14825</v>
      </c>
      <c r="C22" s="610">
        <f t="shared" ca="1" si="19"/>
        <v>0</v>
      </c>
      <c r="D22" s="610">
        <f t="shared" ca="1" si="17"/>
        <v>0</v>
      </c>
      <c r="E22" s="610">
        <f t="shared" ca="1" si="17"/>
        <v>0</v>
      </c>
      <c r="F22" s="610">
        <f t="shared" ca="1" si="17"/>
        <v>0</v>
      </c>
      <c r="G22" s="611">
        <f t="shared" ca="1" si="17"/>
        <v>0</v>
      </c>
      <c r="I22" s="49" t="s">
        <v>435</v>
      </c>
      <c r="J22" s="577"/>
      <c r="O22" s="582">
        <f t="shared" si="3"/>
        <v>6</v>
      </c>
      <c r="P22" s="583">
        <f>'Meteorological data'!F22</f>
        <v>9.7735057296056527E-2</v>
      </c>
      <c r="Q22" s="583">
        <f>'Meteorological data'!G22</f>
        <v>6.2214611872146115E-2</v>
      </c>
      <c r="R22" s="584">
        <v>545</v>
      </c>
      <c r="S22" s="585">
        <f t="shared" ca="1" si="0"/>
        <v>181.66666666666666</v>
      </c>
      <c r="T22" s="585" t="e">
        <f t="shared" ca="1" si="4"/>
        <v>#VALUE!</v>
      </c>
      <c r="U22" s="585">
        <f t="shared" ca="1" si="5"/>
        <v>0</v>
      </c>
      <c r="V22" s="585" t="e">
        <f t="shared" ca="1" si="1"/>
        <v>#VALUE!</v>
      </c>
      <c r="W22" s="574" t="e">
        <f t="shared" ca="1" si="2"/>
        <v>#VALUE!</v>
      </c>
      <c r="X22" s="574">
        <f t="shared" ca="1" si="20"/>
        <v>0</v>
      </c>
      <c r="Y22" s="585" t="e">
        <f t="shared" ca="1" si="15"/>
        <v>#VALUE!</v>
      </c>
      <c r="Z22" s="585" t="e">
        <f t="shared" ca="1" si="8"/>
        <v>#VALUE!</v>
      </c>
      <c r="AA22" s="585" t="e">
        <f t="shared" ca="1" si="9"/>
        <v>#VALUE!</v>
      </c>
      <c r="AB22" s="585" t="e">
        <f t="shared" ca="1" si="10"/>
        <v>#VALUE!</v>
      </c>
      <c r="AC22" s="586" t="e">
        <f t="shared" ca="1" si="11"/>
        <v>#VALUE!</v>
      </c>
      <c r="AF22" s="571">
        <v>1.05</v>
      </c>
      <c r="AG22" s="571">
        <v>0</v>
      </c>
      <c r="AH22" s="571">
        <v>0</v>
      </c>
      <c r="AI22" s="571">
        <v>0</v>
      </c>
    </row>
    <row r="23" spans="1:35" ht="15.75">
      <c r="A23" s="596" t="str">
        <f ca="1">$E119&amp;" Heating Capacity (kW)"</f>
        <v>Low Temperature Heating Capacity (kW)</v>
      </c>
      <c r="B23" s="597" t="str">
        <f t="shared" ca="1" si="16"/>
        <v>Based on test data according to I.S. EN 14825</v>
      </c>
      <c r="C23" s="606">
        <f t="shared" ca="1" si="19"/>
        <v>0</v>
      </c>
      <c r="D23" s="606">
        <f t="shared" ca="1" si="17"/>
        <v>0</v>
      </c>
      <c r="E23" s="606">
        <f t="shared" ca="1" si="17"/>
        <v>0</v>
      </c>
      <c r="F23" s="606">
        <f t="shared" ca="1" si="17"/>
        <v>0</v>
      </c>
      <c r="G23" s="607">
        <f t="shared" ca="1" si="17"/>
        <v>0</v>
      </c>
      <c r="I23" s="49" t="s">
        <v>436</v>
      </c>
      <c r="J23" s="577"/>
      <c r="K23" s="572"/>
      <c r="M23" s="572"/>
      <c r="O23" s="590">
        <f t="shared" si="3"/>
        <v>7</v>
      </c>
      <c r="P23" s="591">
        <f>'Meteorological data'!F23</f>
        <v>9.7322597421229132E-2</v>
      </c>
      <c r="Q23" s="591">
        <f>'Meteorological data'!G23</f>
        <v>6.8835616438356159E-2</v>
      </c>
      <c r="R23" s="592">
        <v>603</v>
      </c>
      <c r="S23" s="593">
        <f t="shared" ca="1" si="0"/>
        <v>201</v>
      </c>
      <c r="T23" s="593" t="e">
        <f t="shared" ca="1" si="4"/>
        <v>#VALUE!</v>
      </c>
      <c r="U23" s="593">
        <f t="shared" ca="1" si="5"/>
        <v>0</v>
      </c>
      <c r="V23" s="585" t="e">
        <f t="shared" ca="1" si="1"/>
        <v>#VALUE!</v>
      </c>
      <c r="W23" s="594" t="e">
        <f t="shared" ca="1" si="2"/>
        <v>#VALUE!</v>
      </c>
      <c r="X23" s="594">
        <f ca="1">F41</f>
        <v>0</v>
      </c>
      <c r="Y23" s="593" t="e">
        <f t="shared" ca="1" si="15"/>
        <v>#VALUE!</v>
      </c>
      <c r="Z23" s="593" t="e">
        <f t="shared" ca="1" si="8"/>
        <v>#VALUE!</v>
      </c>
      <c r="AA23" s="593" t="e">
        <f t="shared" ca="1" si="9"/>
        <v>#VALUE!</v>
      </c>
      <c r="AB23" s="593" t="e">
        <f t="shared" ca="1" si="10"/>
        <v>#VALUE!</v>
      </c>
      <c r="AC23" s="595" t="e">
        <f t="shared" ca="1" si="11"/>
        <v>#VALUE!</v>
      </c>
    </row>
    <row r="24" spans="1:35" ht="15.75">
      <c r="A24" s="589" t="str">
        <f t="shared" ref="A24:A26" ca="1" si="21">$E120&amp;" Heating Capacity (kW)"</f>
        <v>Medium Temperature Heating Capacity (kW)</v>
      </c>
      <c r="B24" s="600" t="str">
        <f t="shared" ca="1" si="16"/>
        <v>Based on test data according to I.S. EN 14825</v>
      </c>
      <c r="C24" s="608">
        <f t="shared" ca="1" si="19"/>
        <v>0</v>
      </c>
      <c r="D24" s="608">
        <f t="shared" ca="1" si="17"/>
        <v>0</v>
      </c>
      <c r="E24" s="608">
        <f t="shared" ca="1" si="17"/>
        <v>0</v>
      </c>
      <c r="F24" s="608">
        <f t="shared" ca="1" si="17"/>
        <v>0</v>
      </c>
      <c r="G24" s="609">
        <f t="shared" ca="1" si="17"/>
        <v>0</v>
      </c>
      <c r="I24" s="49" t="s">
        <v>436</v>
      </c>
      <c r="J24" s="577"/>
      <c r="K24" s="572"/>
      <c r="M24" s="572"/>
      <c r="O24" s="582">
        <f t="shared" si="3"/>
        <v>8</v>
      </c>
      <c r="P24" s="583">
        <f>'Meteorological data'!F24</f>
        <v>9.4399512221365417E-2</v>
      </c>
      <c r="Q24" s="583">
        <f>'Meteorological data'!G24</f>
        <v>7.5114155251141554E-2</v>
      </c>
      <c r="R24" s="584">
        <v>658</v>
      </c>
      <c r="S24" s="585">
        <f t="shared" ca="1" si="0"/>
        <v>219.33333333333331</v>
      </c>
      <c r="T24" s="585" t="e">
        <f t="shared" ca="1" si="4"/>
        <v>#VALUE!</v>
      </c>
      <c r="U24" s="585">
        <f t="shared" ca="1" si="5"/>
        <v>0</v>
      </c>
      <c r="V24" s="585" t="e">
        <f t="shared" ca="1" si="1"/>
        <v>#VALUE!</v>
      </c>
      <c r="W24" s="574" t="e">
        <f t="shared" ca="1" si="2"/>
        <v>#VALUE!</v>
      </c>
      <c r="X24" s="574">
        <f ca="1">(($X$28-$X$23)/($O$28-$O$23))*(O24-$O$23)+$X$23</f>
        <v>0</v>
      </c>
      <c r="Y24" s="585" t="e">
        <f t="shared" ca="1" si="15"/>
        <v>#VALUE!</v>
      </c>
      <c r="Z24" s="585" t="e">
        <f t="shared" ca="1" si="8"/>
        <v>#VALUE!</v>
      </c>
      <c r="AA24" s="585" t="e">
        <f t="shared" ca="1" si="9"/>
        <v>#VALUE!</v>
      </c>
      <c r="AB24" s="585" t="e">
        <f t="shared" ca="1" si="10"/>
        <v>#VALUE!</v>
      </c>
      <c r="AC24" s="586" t="e">
        <f t="shared" ca="1" si="11"/>
        <v>#VALUE!</v>
      </c>
      <c r="AG24" s="583" t="e">
        <f ca="1">IF($J$47&lt;0.5,3.9048*$J$47^2-4.018*$J$47+1.045,0)</f>
        <v>#VALUE!</v>
      </c>
      <c r="AH24" s="583" t="e">
        <f ca="1">IF($J$47&lt;0.7,2.0699*$J$47^2-2.8993*$J$47+1.0265,0)</f>
        <v>#VALUE!</v>
      </c>
      <c r="AI24" s="583" t="e">
        <f ca="1">IF($J$47&lt;1,1.1182*$J$47^2-2.1276*$J$47+1.0252,0)</f>
        <v>#VALUE!</v>
      </c>
    </row>
    <row r="25" spans="1:35" ht="15.75">
      <c r="A25" s="589" t="str">
        <f t="shared" ca="1" si="21"/>
        <v>High Temperature Heating Capacity (kW)</v>
      </c>
      <c r="B25" s="600" t="str">
        <f t="shared" ca="1" si="16"/>
        <v>Based on test data according to I.S. EN 14825</v>
      </c>
      <c r="C25" s="608">
        <f t="shared" ca="1" si="19"/>
        <v>0</v>
      </c>
      <c r="D25" s="608">
        <f t="shared" ca="1" si="17"/>
        <v>0</v>
      </c>
      <c r="E25" s="608">
        <f t="shared" ca="1" si="17"/>
        <v>0</v>
      </c>
      <c r="F25" s="608">
        <f t="shared" ca="1" si="17"/>
        <v>0</v>
      </c>
      <c r="G25" s="609">
        <f t="shared" ca="1" si="17"/>
        <v>0</v>
      </c>
      <c r="I25" s="49" t="s">
        <v>436</v>
      </c>
      <c r="J25" s="577"/>
      <c r="K25" s="572"/>
      <c r="M25" s="572"/>
      <c r="O25" s="582">
        <f t="shared" si="3"/>
        <v>9</v>
      </c>
      <c r="P25" s="583">
        <f>'Meteorological data'!F25</f>
        <v>8.5486792317486501E-2</v>
      </c>
      <c r="Q25" s="583">
        <f>'Meteorological data'!G25</f>
        <v>7.773972602739726E-2</v>
      </c>
      <c r="R25" s="584">
        <v>681</v>
      </c>
      <c r="S25" s="585">
        <f t="shared" ca="1" si="0"/>
        <v>227</v>
      </c>
      <c r="T25" s="585" t="e">
        <f t="shared" ca="1" si="4"/>
        <v>#VALUE!</v>
      </c>
      <c r="U25" s="585">
        <f t="shared" ca="1" si="5"/>
        <v>0</v>
      </c>
      <c r="V25" s="585" t="e">
        <f t="shared" ca="1" si="1"/>
        <v>#VALUE!</v>
      </c>
      <c r="W25" s="574" t="e">
        <f t="shared" ca="1" si="2"/>
        <v>#VALUE!</v>
      </c>
      <c r="X25" s="574">
        <f t="shared" ref="X25:X30" ca="1" si="22">(($X$28-$X$23)/($O$28-$O$23))*(O25-$O$23)+$X$23</f>
        <v>0</v>
      </c>
      <c r="Y25" s="585" t="e">
        <f t="shared" ca="1" si="15"/>
        <v>#VALUE!</v>
      </c>
      <c r="Z25" s="585" t="e">
        <f t="shared" ca="1" si="8"/>
        <v>#VALUE!</v>
      </c>
      <c r="AA25" s="585" t="e">
        <f t="shared" ca="1" si="9"/>
        <v>#VALUE!</v>
      </c>
      <c r="AB25" s="585" t="e">
        <f t="shared" ca="1" si="10"/>
        <v>#VALUE!</v>
      </c>
      <c r="AC25" s="586" t="e">
        <f t="shared" ca="1" si="11"/>
        <v>#VALUE!</v>
      </c>
    </row>
    <row r="26" spans="1:35" ht="15.75">
      <c r="A26" s="603" t="str">
        <f t="shared" ca="1" si="21"/>
        <v>Very high Temperature Heating Capacity (kW)</v>
      </c>
      <c r="B26" s="600" t="str">
        <f t="shared" ca="1" si="16"/>
        <v>Based on test data according to I.S. EN 14825</v>
      </c>
      <c r="C26" s="610">
        <f t="shared" ca="1" si="19"/>
        <v>0</v>
      </c>
      <c r="D26" s="610">
        <f t="shared" ca="1" si="17"/>
        <v>0</v>
      </c>
      <c r="E26" s="610">
        <f t="shared" ca="1" si="17"/>
        <v>0</v>
      </c>
      <c r="F26" s="610">
        <f t="shared" ca="1" si="17"/>
        <v>0</v>
      </c>
      <c r="G26" s="611">
        <f t="shared" ca="1" si="17"/>
        <v>0</v>
      </c>
      <c r="I26" s="49" t="s">
        <v>436</v>
      </c>
      <c r="J26" s="578"/>
      <c r="O26" s="582">
        <f t="shared" si="3"/>
        <v>10</v>
      </c>
      <c r="P26" s="583">
        <f>'Meteorological data'!F26</f>
        <v>6.875526782992307E-2</v>
      </c>
      <c r="Q26" s="583">
        <f>'Meteorological data'!G26</f>
        <v>7.294520547945206E-2</v>
      </c>
      <c r="R26" s="584">
        <v>639</v>
      </c>
      <c r="S26" s="585">
        <f t="shared" ca="1" si="0"/>
        <v>213</v>
      </c>
      <c r="T26" s="585" t="e">
        <f t="shared" ca="1" si="4"/>
        <v>#VALUE!</v>
      </c>
      <c r="U26" s="585">
        <f t="shared" ca="1" si="5"/>
        <v>0</v>
      </c>
      <c r="V26" s="585" t="e">
        <f t="shared" ca="1" si="1"/>
        <v>#VALUE!</v>
      </c>
      <c r="W26" s="574" t="e">
        <f t="shared" ca="1" si="2"/>
        <v>#VALUE!</v>
      </c>
      <c r="X26" s="574">
        <f t="shared" ca="1" si="22"/>
        <v>0</v>
      </c>
      <c r="Y26" s="585" t="e">
        <f t="shared" ca="1" si="15"/>
        <v>#VALUE!</v>
      </c>
      <c r="Z26" s="585" t="e">
        <f t="shared" ca="1" si="8"/>
        <v>#VALUE!</v>
      </c>
      <c r="AA26" s="585" t="e">
        <f t="shared" ca="1" si="9"/>
        <v>#VALUE!</v>
      </c>
      <c r="AB26" s="585" t="e">
        <f t="shared" ca="1" si="10"/>
        <v>#VALUE!</v>
      </c>
      <c r="AC26" s="586" t="e">
        <f t="shared" ca="1" si="11"/>
        <v>#VALUE!</v>
      </c>
    </row>
    <row r="27" spans="1:35" ht="13.5" thickBot="1">
      <c r="B27" s="325" t="s">
        <v>566</v>
      </c>
      <c r="C27" s="326" t="s">
        <v>563</v>
      </c>
      <c r="D27" s="326" t="s">
        <v>559</v>
      </c>
      <c r="E27" s="612" t="s">
        <v>560</v>
      </c>
      <c r="F27" s="326" t="s">
        <v>561</v>
      </c>
      <c r="G27" s="326" t="s">
        <v>562</v>
      </c>
      <c r="J27" s="578"/>
      <c r="O27" s="582">
        <f t="shared" si="3"/>
        <v>11</v>
      </c>
      <c r="P27" s="583">
        <f>'Meteorological data'!F27</f>
        <v>5.9179025518713124E-2</v>
      </c>
      <c r="Q27" s="583">
        <f>'Meteorological data'!G27</f>
        <v>7.5342465753424653E-2</v>
      </c>
      <c r="R27" s="584">
        <v>660</v>
      </c>
      <c r="S27" s="585">
        <f t="shared" ca="1" si="0"/>
        <v>220</v>
      </c>
      <c r="T27" s="585" t="e">
        <f t="shared" ca="1" si="4"/>
        <v>#VALUE!</v>
      </c>
      <c r="U27" s="585">
        <f t="shared" ca="1" si="5"/>
        <v>0</v>
      </c>
      <c r="V27" s="585" t="e">
        <f t="shared" ca="1" si="1"/>
        <v>#VALUE!</v>
      </c>
      <c r="W27" s="574" t="e">
        <f t="shared" ca="1" si="2"/>
        <v>#VALUE!</v>
      </c>
      <c r="X27" s="574">
        <f t="shared" ca="1" si="22"/>
        <v>0</v>
      </c>
      <c r="Y27" s="585" t="e">
        <f t="shared" ca="1" si="15"/>
        <v>#VALUE!</v>
      </c>
      <c r="Z27" s="585" t="e">
        <f t="shared" ca="1" si="8"/>
        <v>#VALUE!</v>
      </c>
      <c r="AA27" s="585" t="e">
        <f t="shared" ca="1" si="9"/>
        <v>#VALUE!</v>
      </c>
      <c r="AB27" s="585" t="e">
        <f t="shared" ca="1" si="10"/>
        <v>#VALUE!</v>
      </c>
      <c r="AC27" s="586" t="e">
        <f t="shared" ca="1" si="11"/>
        <v>#VALUE!</v>
      </c>
    </row>
    <row r="28" spans="1:35">
      <c r="A28" s="571" t="s">
        <v>236</v>
      </c>
      <c r="B28" s="613" t="s">
        <v>237</v>
      </c>
      <c r="C28" s="614" t="str">
        <f ca="1">IF(C30="Yes",$E$125,
IF($E$132="Low temperature heat pump",$E$123,
IF($E$107&lt;=45,IF($E$128="Yes",$E$123,IF($E$129="Yes",$E$124,$E$125)),
IF($E$107&lt;=55,IF($E$129="Yes",$E$124,IF($E$128="Yes",$E$123,$E$125)),
$E$125))))</f>
        <v>High</v>
      </c>
      <c r="D28" s="197"/>
      <c r="E28" s="615"/>
      <c r="I28" s="571" t="s">
        <v>1</v>
      </c>
      <c r="J28" s="578"/>
      <c r="O28" s="590">
        <f t="shared" si="3"/>
        <v>12</v>
      </c>
      <c r="P28" s="591">
        <f>'Meteorological data'!F28</f>
        <v>4.3756612807775763E-2</v>
      </c>
      <c r="Q28" s="591">
        <f>'Meteorological data'!G28</f>
        <v>6.9634703196347028E-2</v>
      </c>
      <c r="R28" s="592">
        <v>610</v>
      </c>
      <c r="S28" s="593">
        <f t="shared" ca="1" si="0"/>
        <v>203.33333333333331</v>
      </c>
      <c r="T28" s="593" t="e">
        <f t="shared" ca="1" si="4"/>
        <v>#VALUE!</v>
      </c>
      <c r="U28" s="593">
        <f t="shared" ca="1" si="5"/>
        <v>0</v>
      </c>
      <c r="V28" s="585" t="e">
        <f t="shared" ca="1" si="1"/>
        <v>#VALUE!</v>
      </c>
      <c r="W28" s="594" t="e">
        <f t="shared" ca="1" si="2"/>
        <v>#VALUE!</v>
      </c>
      <c r="X28" s="594">
        <f ca="1">G41</f>
        <v>0</v>
      </c>
      <c r="Y28" s="593" t="e">
        <f t="shared" ca="1" si="15"/>
        <v>#VALUE!</v>
      </c>
      <c r="Z28" s="593" t="e">
        <f t="shared" ca="1" si="8"/>
        <v>#VALUE!</v>
      </c>
      <c r="AA28" s="593" t="e">
        <f t="shared" ca="1" si="9"/>
        <v>#VALUE!</v>
      </c>
      <c r="AB28" s="593" t="e">
        <f t="shared" ca="1" si="10"/>
        <v>#VALUE!</v>
      </c>
      <c r="AC28" s="595" t="e">
        <f t="shared" ca="1" si="11"/>
        <v>#VALUE!</v>
      </c>
    </row>
    <row r="29" spans="1:35">
      <c r="B29" s="616" t="s">
        <v>238</v>
      </c>
      <c r="C29" s="617" t="str">
        <f ca="1">IF(C30="Yes","Error",
IF($E$132="Low temperature heat pump",IF($E$129="Yes",$E$124,"Error"),
IF($E$107&lt;=45,IF(C28=$E$123,IF($E$129="Yes",$E$124,$E$125),IF(C28=$E$124,$E$125,"Error")),
IF($E$107&lt;=55,IF(C28=$E$123,$E$125,IF(C28=$E$124,$E$125,"Error")),
IF($E$130="Yes",$E$126,"Error")))))</f>
        <v>Error</v>
      </c>
      <c r="D29" s="197"/>
      <c r="E29" s="615"/>
      <c r="J29" s="578"/>
      <c r="N29" s="578"/>
      <c r="O29" s="582">
        <f t="shared" si="3"/>
        <v>13</v>
      </c>
      <c r="P29" s="583">
        <f>'Meteorological data'!F29</f>
        <v>3.1311084410810035E-2</v>
      </c>
      <c r="Q29" s="583">
        <f>'Meteorological data'!G29</f>
        <v>6.6438356164383566E-2</v>
      </c>
      <c r="R29" s="584">
        <v>582</v>
      </c>
      <c r="S29" s="585">
        <f t="shared" ca="1" si="0"/>
        <v>194</v>
      </c>
      <c r="T29" s="585" t="e">
        <f t="shared" ca="1" si="4"/>
        <v>#VALUE!</v>
      </c>
      <c r="U29" s="585">
        <f t="shared" ca="1" si="5"/>
        <v>0</v>
      </c>
      <c r="V29" s="585" t="e">
        <f t="shared" ca="1" si="1"/>
        <v>#VALUE!</v>
      </c>
      <c r="W29" s="574" t="e">
        <f t="shared" ca="1" si="2"/>
        <v>#VALUE!</v>
      </c>
      <c r="X29" s="574">
        <f t="shared" ca="1" si="22"/>
        <v>0</v>
      </c>
      <c r="Y29" s="585" t="e">
        <f t="shared" ca="1" si="15"/>
        <v>#VALUE!</v>
      </c>
      <c r="Z29" s="585" t="e">
        <f t="shared" ca="1" si="8"/>
        <v>#VALUE!</v>
      </c>
      <c r="AA29" s="585" t="e">
        <f t="shared" ca="1" si="9"/>
        <v>#VALUE!</v>
      </c>
      <c r="AB29" s="585" t="e">
        <f t="shared" ca="1" si="10"/>
        <v>#VALUE!</v>
      </c>
      <c r="AC29" s="586" t="e">
        <f t="shared" ca="1" si="11"/>
        <v>#VALUE!</v>
      </c>
    </row>
    <row r="30" spans="1:35" ht="13.5" thickBot="1">
      <c r="B30" s="618" t="s">
        <v>239</v>
      </c>
      <c r="C30" s="619" t="str">
        <f ca="1">$E$106</f>
        <v>No</v>
      </c>
      <c r="D30" s="197"/>
      <c r="E30" s="615"/>
      <c r="J30" s="578"/>
      <c r="N30" s="578"/>
      <c r="O30" s="582">
        <f t="shared" si="3"/>
        <v>14</v>
      </c>
      <c r="P30" s="583">
        <f>'Meteorological data'!F30</f>
        <v>1.7251582590606676E-2</v>
      </c>
      <c r="Q30" s="583">
        <f>'Meteorological data'!G30</f>
        <v>5.4908675799086759E-2</v>
      </c>
      <c r="R30" s="584">
        <v>481</v>
      </c>
      <c r="S30" s="585">
        <f t="shared" ca="1" si="0"/>
        <v>160.33333333333331</v>
      </c>
      <c r="T30" s="585" t="e">
        <f t="shared" ca="1" si="4"/>
        <v>#VALUE!</v>
      </c>
      <c r="U30" s="585">
        <f t="shared" ca="1" si="5"/>
        <v>0</v>
      </c>
      <c r="V30" s="585" t="e">
        <f t="shared" ca="1" si="1"/>
        <v>#VALUE!</v>
      </c>
      <c r="W30" s="574" t="e">
        <f t="shared" ca="1" si="2"/>
        <v>#VALUE!</v>
      </c>
      <c r="X30" s="574">
        <f t="shared" ca="1" si="22"/>
        <v>0</v>
      </c>
      <c r="Y30" s="585" t="e">
        <f t="shared" ca="1" si="15"/>
        <v>#VALUE!</v>
      </c>
      <c r="Z30" s="585" t="e">
        <f t="shared" ca="1" si="8"/>
        <v>#VALUE!</v>
      </c>
      <c r="AA30" s="585" t="e">
        <f t="shared" ca="1" si="9"/>
        <v>#VALUE!</v>
      </c>
      <c r="AB30" s="585" t="e">
        <f t="shared" ca="1" si="10"/>
        <v>#VALUE!</v>
      </c>
      <c r="AC30" s="586" t="e">
        <f t="shared" ca="1" si="11"/>
        <v>#VALUE!</v>
      </c>
    </row>
    <row r="31" spans="1:35" ht="14.25">
      <c r="A31" s="572" t="s">
        <v>439</v>
      </c>
      <c r="B31" s="571" t="str">
        <f ca="1">C28</f>
        <v>High</v>
      </c>
      <c r="C31" s="571">
        <f ca="1">IF($C$28=$E$123,C15,IF($C$28=$E$124,C16,C17))</f>
        <v>55</v>
      </c>
      <c r="D31" s="571">
        <f t="shared" ref="D31:G31" ca="1" si="23">IF($C$28=$E$123,D15,IF($C$28=$E$124,D16,D17))</f>
        <v>55</v>
      </c>
      <c r="E31" s="571">
        <f t="shared" ca="1" si="23"/>
        <v>55</v>
      </c>
      <c r="F31" s="571">
        <f t="shared" ca="1" si="23"/>
        <v>55</v>
      </c>
      <c r="G31" s="571">
        <f t="shared" ca="1" si="23"/>
        <v>55</v>
      </c>
      <c r="I31" s="578"/>
      <c r="J31" s="578"/>
      <c r="O31" s="582">
        <f t="shared" si="3"/>
        <v>15</v>
      </c>
      <c r="P31" s="583">
        <f>'Meteorological data'!F31</f>
        <v>9.002385094058785E-3</v>
      </c>
      <c r="Q31" s="583">
        <f>'Meteorological data'!G31</f>
        <v>5.7305936073059359E-2</v>
      </c>
      <c r="R31" s="584">
        <v>502</v>
      </c>
      <c r="S31" s="585">
        <f t="shared" ca="1" si="0"/>
        <v>167.33333333333331</v>
      </c>
      <c r="T31" s="585" t="e">
        <f t="shared" ca="1" si="4"/>
        <v>#VALUE!</v>
      </c>
      <c r="U31" s="585">
        <f t="shared" ca="1" si="5"/>
        <v>0</v>
      </c>
      <c r="V31" s="585" t="e">
        <f t="shared" ca="1" si="1"/>
        <v>#VALUE!</v>
      </c>
      <c r="W31" s="574" t="e">
        <f t="shared" ca="1" si="2"/>
        <v>#VALUE!</v>
      </c>
      <c r="X31" s="574">
        <f ca="1">(($X$28-$X$23)/($O$28-$O$23))*(O31-$O$23)+$X$23</f>
        <v>0</v>
      </c>
      <c r="Y31" s="585" t="e">
        <f t="shared" ca="1" si="15"/>
        <v>#VALUE!</v>
      </c>
      <c r="Z31" s="585" t="e">
        <f t="shared" ca="1" si="8"/>
        <v>#VALUE!</v>
      </c>
      <c r="AA31" s="585" t="e">
        <f t="shared" ca="1" si="9"/>
        <v>#VALUE!</v>
      </c>
      <c r="AB31" s="585" t="e">
        <f t="shared" ca="1" si="10"/>
        <v>#VALUE!</v>
      </c>
      <c r="AC31" s="586" t="e">
        <f t="shared" ca="1" si="11"/>
        <v>#VALUE!</v>
      </c>
    </row>
    <row r="32" spans="1:35" ht="14.25">
      <c r="A32" s="572" t="s">
        <v>440</v>
      </c>
      <c r="B32" s="571" t="str">
        <f ca="1">C29</f>
        <v>Error</v>
      </c>
      <c r="C32" s="571">
        <f ca="1">IF($C$29=$E$126,C18,IF($C$29=$E$125,C17,IF($C$29="Error",0,C16)))</f>
        <v>0</v>
      </c>
      <c r="D32" s="571">
        <f t="shared" ref="D32:G32" ca="1" si="24">IF($C$29=$E$126,D18,IF($C$29=$E$125,D17,IF($C$29="Error",0,D16)))</f>
        <v>0</v>
      </c>
      <c r="E32" s="571">
        <f t="shared" ca="1" si="24"/>
        <v>0</v>
      </c>
      <c r="F32" s="571">
        <f t="shared" ca="1" si="24"/>
        <v>0</v>
      </c>
      <c r="G32" s="571">
        <f t="shared" ca="1" si="24"/>
        <v>0</v>
      </c>
      <c r="J32" s="578"/>
      <c r="O32" s="582">
        <f t="shared" si="3"/>
        <v>16</v>
      </c>
      <c r="Q32" s="583">
        <f>'Meteorological data'!G32</f>
        <v>4.3721461187214615E-2</v>
      </c>
      <c r="R32" s="584">
        <v>383</v>
      </c>
      <c r="S32" s="585">
        <f t="shared" ca="1" si="0"/>
        <v>127.66666666666666</v>
      </c>
      <c r="U32" s="585">
        <f t="shared" ca="1" si="5"/>
        <v>0</v>
      </c>
      <c r="V32" s="585">
        <f t="shared" ca="1" si="1"/>
        <v>0</v>
      </c>
      <c r="W32" s="574" t="s">
        <v>1</v>
      </c>
    </row>
    <row r="33" spans="1:24" ht="13.5" thickBot="1">
      <c r="A33" s="572" t="s">
        <v>240</v>
      </c>
      <c r="B33" s="571" t="str">
        <f ca="1">C28</f>
        <v>High</v>
      </c>
      <c r="C33" s="574">
        <f ca="1">IF($C$28=$E$123,C19,IF($C$28=$E$124,C20,C21))</f>
        <v>0</v>
      </c>
      <c r="D33" s="574">
        <f t="shared" ref="D33:G33" ca="1" si="25">IF($C$28=$E$123,D19,IF($C$28=$E$124,D20,D21))</f>
        <v>0</v>
      </c>
      <c r="E33" s="574">
        <f t="shared" ca="1" si="25"/>
        <v>0</v>
      </c>
      <c r="F33" s="574">
        <f t="shared" ca="1" si="25"/>
        <v>0</v>
      </c>
      <c r="G33" s="574">
        <f t="shared" ca="1" si="25"/>
        <v>0</v>
      </c>
      <c r="J33" s="578"/>
      <c r="O33" s="582">
        <f t="shared" si="3"/>
        <v>17</v>
      </c>
      <c r="Q33" s="583">
        <f>'Meteorological data'!G33</f>
        <v>2.9566210045662102E-2</v>
      </c>
      <c r="R33" s="584">
        <v>259</v>
      </c>
      <c r="S33" s="585">
        <f t="shared" ca="1" si="0"/>
        <v>86.333333333333329</v>
      </c>
      <c r="U33" s="585">
        <f t="shared" ca="1" si="5"/>
        <v>0</v>
      </c>
      <c r="V33" s="585">
        <f t="shared" ca="1" si="1"/>
        <v>0</v>
      </c>
      <c r="W33" s="574" t="s">
        <v>1</v>
      </c>
    </row>
    <row r="34" spans="1:24">
      <c r="A34" s="572" t="s">
        <v>241</v>
      </c>
      <c r="B34" s="571" t="str">
        <f ca="1">C29</f>
        <v>Error</v>
      </c>
      <c r="C34" s="574">
        <f ca="1">IF($C$29=$E$126,C22,IF($C$29=$E$125,C21,IF($C$29="Error",0,C20)))</f>
        <v>0</v>
      </c>
      <c r="D34" s="574">
        <f t="shared" ref="D34:G34" ca="1" si="26">IF($C$29=$E$126,D22,IF($C$29=$E$125,D21,IF($C$29="Error",0,D20)))</f>
        <v>0</v>
      </c>
      <c r="E34" s="574">
        <f t="shared" ca="1" si="26"/>
        <v>0</v>
      </c>
      <c r="F34" s="574">
        <f t="shared" ca="1" si="26"/>
        <v>0</v>
      </c>
      <c r="G34" s="574">
        <f t="shared" ca="1" si="26"/>
        <v>0</v>
      </c>
      <c r="I34" s="620" t="s">
        <v>441</v>
      </c>
      <c r="J34" s="578"/>
      <c r="O34" s="582">
        <f t="shared" si="3"/>
        <v>18</v>
      </c>
      <c r="Q34" s="583">
        <f>'Meteorological data'!G34</f>
        <v>1.9406392694063926E-2</v>
      </c>
      <c r="R34" s="584">
        <v>170</v>
      </c>
      <c r="S34" s="585">
        <f t="shared" ca="1" si="0"/>
        <v>56.666666666666664</v>
      </c>
      <c r="U34" s="585">
        <f t="shared" ca="1" si="5"/>
        <v>0</v>
      </c>
      <c r="V34" s="585">
        <f t="shared" ca="1" si="1"/>
        <v>0</v>
      </c>
      <c r="W34" s="574" t="s">
        <v>1</v>
      </c>
    </row>
    <row r="35" spans="1:24" ht="13.5" thickBot="1">
      <c r="A35" s="572" t="s">
        <v>242</v>
      </c>
      <c r="B35" s="571" t="str">
        <f ca="1">C28</f>
        <v>High</v>
      </c>
      <c r="C35" s="574">
        <f ca="1">IF($C$28=$E$123,C23,IF($C$28=$E$124,C24,C25))</f>
        <v>0</v>
      </c>
      <c r="D35" s="574">
        <f t="shared" ref="D35:G35" ca="1" si="27">IF($C$28=$E$123,D23,IF($C$28=$E$124,D24,D25))</f>
        <v>0</v>
      </c>
      <c r="E35" s="574">
        <f t="shared" ca="1" si="27"/>
        <v>0</v>
      </c>
      <c r="F35" s="574">
        <f t="shared" ca="1" si="27"/>
        <v>0</v>
      </c>
      <c r="G35" s="574">
        <f t="shared" ca="1" si="27"/>
        <v>0</v>
      </c>
      <c r="I35" s="621">
        <f ca="1">IF(E132="Low temperature heat pump",35,55)</f>
        <v>55</v>
      </c>
      <c r="J35" s="578"/>
      <c r="O35" s="582">
        <f t="shared" si="3"/>
        <v>19</v>
      </c>
      <c r="Q35" s="583">
        <f>'Meteorological data'!G35</f>
        <v>1.2785388127853882E-2</v>
      </c>
      <c r="R35" s="584">
        <v>112</v>
      </c>
      <c r="S35" s="585">
        <f t="shared" ca="1" si="0"/>
        <v>37.333333333333329</v>
      </c>
      <c r="U35" s="585">
        <f t="shared" ca="1" si="5"/>
        <v>0</v>
      </c>
      <c r="V35" s="585">
        <f t="shared" ca="1" si="1"/>
        <v>0</v>
      </c>
      <c r="W35" s="574" t="s">
        <v>1</v>
      </c>
    </row>
    <row r="36" spans="1:24">
      <c r="A36" s="572" t="s">
        <v>243</v>
      </c>
      <c r="B36" s="571" t="str">
        <f ca="1">C29</f>
        <v>Error</v>
      </c>
      <c r="C36" s="574">
        <f ca="1">IF($C$29=$E$126,C26,IF($C$29=$E$125,C25,IF($C$29="Error",0,C24)))</f>
        <v>0</v>
      </c>
      <c r="D36" s="574">
        <f t="shared" ref="D36:G36" ca="1" si="28">IF($C$29=$E$126,D26,IF($C$29=$E$125,D25,IF($C$29="Error",0,D24)))</f>
        <v>0</v>
      </c>
      <c r="E36" s="574">
        <f t="shared" ca="1" si="28"/>
        <v>0</v>
      </c>
      <c r="F36" s="574">
        <f t="shared" ca="1" si="28"/>
        <v>0</v>
      </c>
      <c r="G36" s="574">
        <f t="shared" ca="1" si="28"/>
        <v>0</v>
      </c>
      <c r="J36" s="578"/>
      <c r="O36" s="582">
        <f t="shared" si="3"/>
        <v>20</v>
      </c>
      <c r="Q36" s="583">
        <f>'Meteorological data'!G36</f>
        <v>7.6484018264840184E-3</v>
      </c>
      <c r="R36" s="584">
        <v>67</v>
      </c>
      <c r="S36" s="585">
        <f t="shared" ca="1" si="0"/>
        <v>22.333333333333332</v>
      </c>
      <c r="U36" s="585">
        <f t="shared" ca="1" si="5"/>
        <v>0</v>
      </c>
      <c r="V36" s="585">
        <f t="shared" ca="1" si="1"/>
        <v>0</v>
      </c>
      <c r="W36" s="574" t="s">
        <v>1</v>
      </c>
      <c r="X36" s="572" t="s">
        <v>244</v>
      </c>
    </row>
    <row r="37" spans="1:24" ht="42" customHeight="1">
      <c r="A37" s="578" t="s">
        <v>245</v>
      </c>
      <c r="B37" s="580" t="s">
        <v>403</v>
      </c>
      <c r="C37" s="622" t="e">
        <f ca="1">$E$105+(($E$109/2)*(($E$105-C3)/($E$105-$E$104)))+((AVERAGE($I$35,($I$35-$E$109))-$E$105)*(($E$105-C3)/($E$105-$E$104))^(1/$E$108))</f>
        <v>#VALUE!</v>
      </c>
      <c r="D37" s="622" t="e">
        <f ca="1">$E$105+(($E$109/2)*(($E$105-D3)/($E$105-$E$104)))+((AVERAGE($I$35,($I$35-$E$109))-$E$105)*(($E$105-D3)/($E$105-$E$104))^(1/$E$108))</f>
        <v>#VALUE!</v>
      </c>
      <c r="E37" s="622" t="e">
        <f ca="1">$E$105+(($E$109/2)*(($E$105-E3)/($E$105-$E$104)))+((AVERAGE($I$35,($I$35-$E$109))-$E$105)*(($E$105-E3)/($E$105-$E$104))^(1/$E$108))</f>
        <v>#VALUE!</v>
      </c>
      <c r="F37" s="622" t="e">
        <f ca="1">$E$105+(($E$109/2)*(($E$105-F3)/($E$105-$E$104)))+((AVERAGE($I$35,($I$35-$E$109))-$E$105)*(($E$105-F3)/($E$105-$E$104))^(1/$E$108))</f>
        <v>#VALUE!</v>
      </c>
      <c r="G37" s="622" t="e">
        <f ca="1">$E$105+(($E$109/2)*(($E$105-G3)/($E$105-$E$104)))+((AVERAGE($I$35,($I$35-$E$109))-$E$105)*(($E$105-G3)/($E$105-$E$104))^(1/$E$108))</f>
        <v>#VALUE!</v>
      </c>
      <c r="I37" s="577" t="str">
        <f ca="1">I35&amp;"degC basis for Supply Flow Temperature to meet the mandatory test points in Ecodesign, to use for single test point data"</f>
        <v>55degC basis for Supply Flow Temperature to meet the mandatory test points in Ecodesign, to use for single test point data</v>
      </c>
      <c r="J37" s="578"/>
      <c r="O37" s="582">
        <f t="shared" si="3"/>
        <v>21</v>
      </c>
      <c r="Q37" s="583">
        <f>'Meteorological data'!G37</f>
        <v>4.2237442922374432E-3</v>
      </c>
      <c r="R37" s="584">
        <v>37</v>
      </c>
      <c r="S37" s="585">
        <f t="shared" ca="1" si="0"/>
        <v>12.333333333333332</v>
      </c>
      <c r="U37" s="585">
        <f t="shared" ca="1" si="5"/>
        <v>0</v>
      </c>
      <c r="V37" s="585">
        <f t="shared" ca="1" si="1"/>
        <v>0</v>
      </c>
      <c r="W37" s="574" t="s">
        <v>1</v>
      </c>
    </row>
    <row r="38" spans="1:24" ht="38.25">
      <c r="A38" s="571" t="s">
        <v>246</v>
      </c>
      <c r="B38" s="580" t="s">
        <v>404</v>
      </c>
      <c r="C38" s="571">
        <f ca="1">IF(OR($E$98="Air to Water",$E$98="Air to Air"),C3,
IF(LEFT($E$98,7)="Exhaust",$E$105,
IF(OR($E$98="Water to Water",$E$98="Water to Air"),10,
IF($E$98="Direct exchange (DX)",4,
MAX(0,MIN(0.15*C3+1.5,4.5))))))</f>
        <v>0</v>
      </c>
      <c r="D38" s="571">
        <f ca="1">IF(OR($E$98="Air to Water",$E$98="Air to Air"),D3,
IF(LEFT($E$98,7)="Exhaust",$E$105,
IF(OR($E$98="Water to Water",$E$98="Water to Air"),10,
IF($E$98="Direct exchange (DX)",4,
MAX(0,MIN(0.15*D3+1.5,4.5))))))</f>
        <v>-7</v>
      </c>
      <c r="E38" s="571">
        <f ca="1">IF(OR($E$98="Air to Water",$E$98="Air to Air"),E3,
IF(LEFT($E$98,7)="Exhaust",$E$105,
IF(OR($E$98="Water to Water",$E$98="Water to Air"),10,
IF($E$98="Direct exchange (DX)",4,
MAX(0,MIN(0.15*E3+1.5,4.5))))))</f>
        <v>2</v>
      </c>
      <c r="F38" s="571">
        <f ca="1">IF(OR($E$98="Air to Water",$E$98="Air to Air"),F3,
IF(LEFT($E$98,7)="Exhaust",$E$105,
IF(OR($E$98="Water to Water",$E$98="Water to Air"),10,
IF($E$98="Direct exchange (DX)",4,
MAX(0,MIN(0.15*F3+1.5,4.5))))))</f>
        <v>7</v>
      </c>
      <c r="G38" s="571">
        <f ca="1">IF(OR($E$98="Air to Water",$E$98="Air to Air"),G3,
IF(LEFT($E$98,7)="Exhaust",$E$105,
IF(OR($E$98="Water to Water",$E$98="Water to Air"),10,
IF($E$98="Direct exchange (DX)",4,
MAX(0,MIN(0.15*G3+1.5,4.5))))))</f>
        <v>12</v>
      </c>
      <c r="I38" s="572" t="s">
        <v>442</v>
      </c>
      <c r="J38" s="578"/>
      <c r="K38" s="572"/>
      <c r="M38" s="572"/>
      <c r="N38" s="572"/>
      <c r="O38" s="582">
        <f t="shared" si="3"/>
        <v>22</v>
      </c>
      <c r="Q38" s="583">
        <f>'Meteorological data'!G38</f>
        <v>3.0821917808219177E-3</v>
      </c>
      <c r="R38" s="584">
        <v>27</v>
      </c>
      <c r="S38" s="585">
        <f t="shared" ca="1" si="0"/>
        <v>9</v>
      </c>
      <c r="U38" s="585">
        <f t="shared" ca="1" si="5"/>
        <v>0</v>
      </c>
      <c r="V38" s="585">
        <f t="shared" ca="1" si="1"/>
        <v>0</v>
      </c>
      <c r="W38" s="574" t="s">
        <v>1</v>
      </c>
    </row>
    <row r="39" spans="1:24" ht="119.25" customHeight="1">
      <c r="A39" s="571" t="s">
        <v>247</v>
      </c>
      <c r="B39" s="589" t="s">
        <v>405</v>
      </c>
      <c r="C39" s="574" t="e">
        <f ca="1">$E$105+
((($E$107-$E$110)/2)*
(($E$105-C3)/
($E$105-$E$104)))+
((AVERAGE($E$107,$E$110)-$E$105)*
(($E$105-C3)/($E$105-$E$104))^
(1/$E$108))</f>
        <v>#VALUE!</v>
      </c>
      <c r="D39" s="574" t="e">
        <f ca="1">$E$105+
((($E$107-$E$110)/2)*
(($E$105-D3)/
($E$105-$E$104)))+
((AVERAGE($E$107,$E$110)-$E$105)*
(($E$105-D3)/($E$105-$E$104))^
(1/$E$108))</f>
        <v>#VALUE!</v>
      </c>
      <c r="E39" s="574" t="e">
        <f ca="1">$E$105+
((($E$107-$E$110)/2)*
(($E$105-E3)/
($E$105-$E$104)))+
((AVERAGE($E$107,$E$110)-$E$105)*
(($E$105-E3)/($E$105-$E$104))^
(1/$E$108))</f>
        <v>#VALUE!</v>
      </c>
      <c r="F39" s="574" t="e">
        <f ca="1">$E$105+
((($E$107-$E$110)/2)*
(($E$105-F3)/
($E$105-$E$104)))+
((AVERAGE($E$107,$E$110)-$E$105)*
(($E$105-F3)/($E$105-$E$104))^
(1/$E$108))</f>
        <v>#VALUE!</v>
      </c>
      <c r="G39" s="574" t="e">
        <f ca="1">$E$105+
((($E$107-$E$110)/2)*
(($E$105-G3)/
($E$105-$E$104)))+
((AVERAGE($E$107,$E$110)-$E$105)*
(($E$105-G3)/($E$105-$E$104))^
(1/$E$108))</f>
        <v>#VALUE!</v>
      </c>
      <c r="H39" s="571" t="s">
        <v>1</v>
      </c>
      <c r="M39" s="572"/>
      <c r="O39" s="582">
        <f t="shared" si="3"/>
        <v>23</v>
      </c>
      <c r="Q39" s="583">
        <f>'Meteorological data'!G39</f>
        <v>2.2831050228310501E-3</v>
      </c>
      <c r="R39" s="584">
        <v>20</v>
      </c>
      <c r="S39" s="585">
        <f t="shared" ca="1" si="0"/>
        <v>6.6666666666666661</v>
      </c>
      <c r="U39" s="585">
        <f t="shared" ca="1" si="5"/>
        <v>0</v>
      </c>
      <c r="V39" s="585">
        <f t="shared" ca="1" si="1"/>
        <v>0</v>
      </c>
      <c r="W39" s="574" t="s">
        <v>1</v>
      </c>
    </row>
    <row r="40" spans="1:24" ht="43.15" customHeight="1">
      <c r="A40" s="571" t="s">
        <v>248</v>
      </c>
      <c r="B40" s="589" t="s">
        <v>406</v>
      </c>
      <c r="C40" s="775" t="s">
        <v>443</v>
      </c>
      <c r="D40" s="776"/>
      <c r="E40" s="776"/>
      <c r="F40" s="776"/>
      <c r="G40" s="776"/>
      <c r="H40" s="776"/>
      <c r="J40" s="578"/>
      <c r="K40" s="578"/>
      <c r="M40" s="578"/>
      <c r="N40" s="572"/>
      <c r="O40" s="582">
        <f t="shared" si="3"/>
        <v>24</v>
      </c>
      <c r="Q40" s="583">
        <f>'Meteorological data'!G40</f>
        <v>1.4840182648401827E-3</v>
      </c>
      <c r="R40" s="584">
        <v>13</v>
      </c>
      <c r="S40" s="585">
        <f t="shared" ca="1" si="0"/>
        <v>4.333333333333333</v>
      </c>
      <c r="U40" s="585">
        <f t="shared" ca="1" si="5"/>
        <v>0</v>
      </c>
      <c r="V40" s="585">
        <f t="shared" ca="1" si="1"/>
        <v>0</v>
      </c>
      <c r="W40" s="574" t="s">
        <v>1</v>
      </c>
    </row>
    <row r="41" spans="1:24" ht="25.5">
      <c r="A41" s="571" t="s">
        <v>249</v>
      </c>
      <c r="B41" s="589" t="s">
        <v>407</v>
      </c>
      <c r="C41" s="574">
        <f ca="1">IF($C$29="Error",C35,((C36-C35)/(C32-C31))*(C39-C31)+C35)</f>
        <v>0</v>
      </c>
      <c r="D41" s="574">
        <f ca="1">IF($C$29="Error",D35,((D36-D35)/(D32-D31))*(D39-D31)+D35)</f>
        <v>0</v>
      </c>
      <c r="E41" s="574">
        <f ca="1">IF($C$29="Error",E35,((E36-E35)/(E32-E31))*(E39-E31)+E35)</f>
        <v>0</v>
      </c>
      <c r="F41" s="574">
        <f ca="1">IF($C$29="Error",F35,((F36-F35)/(F32-F31))*(F39-F31)+F35)</f>
        <v>0</v>
      </c>
      <c r="G41" s="574">
        <f ca="1">IF($C$29="Error",G35,((G36-G35)/(G32-G31))*(G39-G31)+G35)</f>
        <v>0</v>
      </c>
      <c r="I41" s="577" t="s">
        <v>250</v>
      </c>
      <c r="J41" s="578"/>
      <c r="N41" s="623"/>
      <c r="O41" s="582">
        <f t="shared" si="3"/>
        <v>25</v>
      </c>
      <c r="Q41" s="583">
        <f>'Meteorological data'!G41</f>
        <v>0</v>
      </c>
      <c r="R41" s="584">
        <v>0</v>
      </c>
      <c r="S41" s="585">
        <f t="shared" ca="1" si="0"/>
        <v>0</v>
      </c>
      <c r="U41" s="585">
        <f t="shared" ca="1" si="5"/>
        <v>0</v>
      </c>
      <c r="V41" s="585">
        <f t="shared" ca="1" si="1"/>
        <v>0</v>
      </c>
      <c r="W41" s="574" t="s">
        <v>1</v>
      </c>
    </row>
    <row r="42" spans="1:24" ht="13.5" thickBot="1">
      <c r="C42" s="585"/>
      <c r="D42" s="585"/>
      <c r="E42" s="585"/>
      <c r="F42" s="585"/>
      <c r="G42" s="585"/>
      <c r="J42" s="578"/>
      <c r="O42" s="582">
        <f t="shared" si="3"/>
        <v>26</v>
      </c>
      <c r="Q42" s="583">
        <f>'Meteorological data'!G42</f>
        <v>0</v>
      </c>
      <c r="R42" s="584">
        <v>0</v>
      </c>
      <c r="S42" s="585">
        <f t="shared" ca="1" si="0"/>
        <v>0</v>
      </c>
      <c r="U42" s="585">
        <f t="shared" ca="1" si="5"/>
        <v>0</v>
      </c>
      <c r="V42" s="585">
        <f t="shared" ca="1" si="1"/>
        <v>0</v>
      </c>
      <c r="W42" s="574" t="s">
        <v>1</v>
      </c>
    </row>
    <row r="43" spans="1:24" ht="38.25">
      <c r="A43" s="571" t="s">
        <v>251</v>
      </c>
      <c r="B43" s="571" t="s">
        <v>252</v>
      </c>
      <c r="C43" s="571">
        <f ca="1">IF(C28="Low",F35,F35)</f>
        <v>0</v>
      </c>
      <c r="D43" s="571" t="s">
        <v>174</v>
      </c>
      <c r="I43" s="624" t="s">
        <v>446</v>
      </c>
      <c r="J43" s="625" t="s">
        <v>444</v>
      </c>
      <c r="K43" s="620" t="s">
        <v>445</v>
      </c>
      <c r="N43" s="623"/>
      <c r="O43" s="582">
        <f t="shared" si="3"/>
        <v>27</v>
      </c>
      <c r="Q43" s="583">
        <f>'Meteorological data'!G43</f>
        <v>0</v>
      </c>
      <c r="R43" s="584">
        <v>0</v>
      </c>
      <c r="S43" s="585">
        <f t="shared" ca="1" si="0"/>
        <v>0</v>
      </c>
      <c r="U43" s="585">
        <f t="shared" ca="1" si="5"/>
        <v>0</v>
      </c>
      <c r="V43" s="585">
        <f t="shared" ca="1" si="1"/>
        <v>0</v>
      </c>
      <c r="W43" s="574" t="s">
        <v>1</v>
      </c>
    </row>
    <row r="44" spans="1:24" ht="39" thickBot="1">
      <c r="A44" s="571" t="s">
        <v>253</v>
      </c>
      <c r="B44" s="626" t="s">
        <v>408</v>
      </c>
      <c r="C44" s="574">
        <f ca="1">C43/(4.182*J44)</f>
        <v>0</v>
      </c>
      <c r="D44" s="574" t="s">
        <v>1</v>
      </c>
      <c r="F44" s="574" t="s">
        <v>1</v>
      </c>
      <c r="G44" s="574" t="s">
        <v>1</v>
      </c>
      <c r="I44" s="577" t="s">
        <v>488</v>
      </c>
      <c r="J44" s="627">
        <f ca="1">IF(E133="Electricity",5,7+10*(K44-35)/30)</f>
        <v>5</v>
      </c>
      <c r="K44" s="621">
        <f ca="1">E131</f>
        <v>55</v>
      </c>
      <c r="O44" s="582">
        <f t="shared" si="3"/>
        <v>28</v>
      </c>
      <c r="Q44" s="583">
        <f>'Meteorological data'!G44</f>
        <v>0</v>
      </c>
      <c r="R44" s="584">
        <v>0</v>
      </c>
      <c r="S44" s="585">
        <f t="shared" ca="1" si="0"/>
        <v>0</v>
      </c>
      <c r="U44" s="585">
        <f t="shared" ca="1" si="5"/>
        <v>0</v>
      </c>
      <c r="V44" s="585">
        <f t="shared" ca="1" si="1"/>
        <v>0</v>
      </c>
      <c r="W44" s="574" t="s">
        <v>1</v>
      </c>
    </row>
    <row r="45" spans="1:24" ht="14.25">
      <c r="A45" s="571" t="s">
        <v>254</v>
      </c>
      <c r="B45" s="589" t="s">
        <v>409</v>
      </c>
      <c r="C45" s="574" t="e">
        <f ca="1">C35/($C$44*4.182)</f>
        <v>#DIV/0!</v>
      </c>
      <c r="D45" s="574" t="e">
        <f t="shared" ref="C45:G46" ca="1" si="29">D35/($C$44*4.182)</f>
        <v>#DIV/0!</v>
      </c>
      <c r="E45" s="574" t="e">
        <f t="shared" ca="1" si="29"/>
        <v>#DIV/0!</v>
      </c>
      <c r="F45" s="574" t="e">
        <f t="shared" ca="1" si="29"/>
        <v>#DIV/0!</v>
      </c>
      <c r="G45" s="574" t="e">
        <f t="shared" ca="1" si="29"/>
        <v>#DIV/0!</v>
      </c>
      <c r="J45" s="578"/>
      <c r="O45" s="582">
        <f t="shared" si="3"/>
        <v>29</v>
      </c>
      <c r="Q45" s="583">
        <f>'Meteorological data'!G45</f>
        <v>0</v>
      </c>
      <c r="R45" s="584">
        <v>0</v>
      </c>
      <c r="S45" s="585">
        <f t="shared" ca="1" si="0"/>
        <v>0</v>
      </c>
      <c r="U45" s="585">
        <f t="shared" ca="1" si="5"/>
        <v>0</v>
      </c>
      <c r="V45" s="585">
        <f t="shared" ca="1" si="1"/>
        <v>0</v>
      </c>
      <c r="W45" s="574" t="s">
        <v>1</v>
      </c>
    </row>
    <row r="46" spans="1:24" ht="14.25">
      <c r="A46" s="571" t="s">
        <v>255</v>
      </c>
      <c r="B46" s="589" t="s">
        <v>409</v>
      </c>
      <c r="C46" s="574" t="e">
        <f t="shared" ca="1" si="29"/>
        <v>#DIV/0!</v>
      </c>
      <c r="D46" s="574" t="e">
        <f t="shared" ca="1" si="29"/>
        <v>#DIV/0!</v>
      </c>
      <c r="E46" s="574" t="e">
        <f t="shared" ca="1" si="29"/>
        <v>#DIV/0!</v>
      </c>
      <c r="F46" s="574" t="e">
        <f t="shared" ca="1" si="29"/>
        <v>#DIV/0!</v>
      </c>
      <c r="G46" s="574" t="e">
        <f t="shared" ca="1" si="29"/>
        <v>#DIV/0!</v>
      </c>
      <c r="J46" s="578"/>
      <c r="O46" s="582">
        <f t="shared" si="3"/>
        <v>30</v>
      </c>
      <c r="Q46" s="583">
        <f>'Meteorological data'!G46</f>
        <v>0</v>
      </c>
      <c r="R46" s="584">
        <v>0</v>
      </c>
      <c r="S46" s="585">
        <f t="shared" ca="1" si="0"/>
        <v>0</v>
      </c>
      <c r="U46" s="585">
        <f t="shared" ca="1" si="5"/>
        <v>0</v>
      </c>
      <c r="V46" s="585">
        <f t="shared" ca="1" si="1"/>
        <v>0</v>
      </c>
      <c r="W46" s="574" t="s">
        <v>1</v>
      </c>
    </row>
    <row r="47" spans="1:24">
      <c r="A47" s="571" t="s">
        <v>256</v>
      </c>
      <c r="B47" s="571" t="s">
        <v>257</v>
      </c>
      <c r="C47" s="574" t="e">
        <f ca="1">E93/1000</f>
        <v>#VALUE!</v>
      </c>
      <c r="D47" s="574" t="s">
        <v>174</v>
      </c>
      <c r="E47" s="574"/>
      <c r="F47" s="574"/>
      <c r="G47" s="574"/>
      <c r="I47" s="572" t="s">
        <v>258</v>
      </c>
      <c r="J47" s="98" t="e">
        <f ca="1">C43/C47</f>
        <v>#VALUE!</v>
      </c>
      <c r="K47" s="578"/>
      <c r="M47" s="578"/>
      <c r="N47" s="572"/>
      <c r="O47" s="582">
        <f t="shared" si="3"/>
        <v>31</v>
      </c>
      <c r="Q47" s="583">
        <f>'Meteorological data'!G47</f>
        <v>0</v>
      </c>
      <c r="R47" s="584">
        <v>0</v>
      </c>
      <c r="S47" s="585">
        <f t="shared" ca="1" si="0"/>
        <v>0</v>
      </c>
      <c r="U47" s="585">
        <f t="shared" ca="1" si="5"/>
        <v>0</v>
      </c>
      <c r="V47" s="585">
        <f t="shared" ca="1" si="1"/>
        <v>0</v>
      </c>
      <c r="W47" s="574" t="s">
        <v>1</v>
      </c>
    </row>
    <row r="48" spans="1:24">
      <c r="A48" s="571" t="s">
        <v>259</v>
      </c>
      <c r="B48" s="571" t="s">
        <v>260</v>
      </c>
      <c r="C48" s="574">
        <f ca="1">$E$107-$E$110</f>
        <v>10</v>
      </c>
      <c r="D48" s="574"/>
      <c r="E48" s="574"/>
      <c r="F48" s="574"/>
      <c r="G48" s="574"/>
      <c r="J48" s="578"/>
      <c r="O48" s="582">
        <f t="shared" si="3"/>
        <v>32</v>
      </c>
      <c r="Q48" s="583">
        <f>'Meteorological data'!G48</f>
        <v>0</v>
      </c>
      <c r="R48" s="584">
        <v>0</v>
      </c>
      <c r="S48" s="585">
        <f t="shared" ca="1" si="0"/>
        <v>0</v>
      </c>
      <c r="U48" s="585">
        <f t="shared" ca="1" si="5"/>
        <v>0</v>
      </c>
      <c r="V48" s="585">
        <f t="shared" ca="1" si="1"/>
        <v>0</v>
      </c>
      <c r="W48" s="574" t="s">
        <v>1</v>
      </c>
    </row>
    <row r="49" spans="1:23">
      <c r="A49" s="571" t="s">
        <v>261</v>
      </c>
      <c r="B49" s="626" t="s">
        <v>408</v>
      </c>
      <c r="C49" s="574" t="e">
        <f ca="1">C47/(C48*4.182)</f>
        <v>#VALUE!</v>
      </c>
      <c r="J49" s="578"/>
      <c r="K49" s="572"/>
      <c r="M49" s="572"/>
      <c r="O49" s="582">
        <f t="shared" si="3"/>
        <v>33</v>
      </c>
      <c r="Q49" s="583">
        <f>'Meteorological data'!G49</f>
        <v>0</v>
      </c>
      <c r="R49" s="584">
        <v>0</v>
      </c>
      <c r="S49" s="585">
        <f t="shared" ca="1" si="0"/>
        <v>0</v>
      </c>
      <c r="U49" s="585">
        <f t="shared" ca="1" si="5"/>
        <v>0</v>
      </c>
      <c r="V49" s="585">
        <f t="shared" ca="1" si="1"/>
        <v>0</v>
      </c>
      <c r="W49" s="574" t="s">
        <v>1</v>
      </c>
    </row>
    <row r="50" spans="1:23" ht="25.5">
      <c r="A50" s="578" t="s">
        <v>262</v>
      </c>
      <c r="B50" s="589" t="s">
        <v>409</v>
      </c>
      <c r="C50" s="574" t="e">
        <f ca="1">C35/($C$49*4.182)</f>
        <v>#VALUE!</v>
      </c>
      <c r="D50" s="574" t="e">
        <f t="shared" ref="D50:G51" ca="1" si="30">D35/($C$49*4.182)</f>
        <v>#VALUE!</v>
      </c>
      <c r="E50" s="574" t="e">
        <f t="shared" ca="1" si="30"/>
        <v>#VALUE!</v>
      </c>
      <c r="F50" s="574" t="e">
        <f t="shared" ca="1" si="30"/>
        <v>#VALUE!</v>
      </c>
      <c r="G50" s="574" t="e">
        <f t="shared" ca="1" si="30"/>
        <v>#VALUE!</v>
      </c>
      <c r="J50" s="578"/>
      <c r="O50" s="582">
        <f t="shared" si="3"/>
        <v>34</v>
      </c>
      <c r="Q50" s="583">
        <f>'Meteorological data'!G50</f>
        <v>0</v>
      </c>
      <c r="R50" s="584">
        <v>0</v>
      </c>
      <c r="S50" s="585">
        <f t="shared" ca="1" si="0"/>
        <v>0</v>
      </c>
      <c r="U50" s="585">
        <f t="shared" ca="1" si="5"/>
        <v>0</v>
      </c>
      <c r="V50" s="585">
        <f t="shared" ca="1" si="1"/>
        <v>0</v>
      </c>
      <c r="W50" s="574" t="s">
        <v>1</v>
      </c>
    </row>
    <row r="51" spans="1:23" ht="25.5">
      <c r="A51" s="578" t="s">
        <v>263</v>
      </c>
      <c r="B51" s="589" t="s">
        <v>409</v>
      </c>
      <c r="C51" s="574" t="e">
        <f ca="1">C36/($C$49*4.182)</f>
        <v>#VALUE!</v>
      </c>
      <c r="D51" s="574" t="e">
        <f t="shared" ca="1" si="30"/>
        <v>#VALUE!</v>
      </c>
      <c r="E51" s="574" t="e">
        <f t="shared" ca="1" si="30"/>
        <v>#VALUE!</v>
      </c>
      <c r="F51" s="574" t="e">
        <f t="shared" ca="1" si="30"/>
        <v>#VALUE!</v>
      </c>
      <c r="G51" s="574" t="e">
        <f t="shared" ca="1" si="30"/>
        <v>#VALUE!</v>
      </c>
      <c r="J51" s="578"/>
      <c r="O51" s="582">
        <f t="shared" si="3"/>
        <v>35</v>
      </c>
      <c r="Q51" s="583">
        <f>'Meteorological data'!G51</f>
        <v>0</v>
      </c>
      <c r="R51" s="584">
        <v>0</v>
      </c>
      <c r="S51" s="585">
        <f t="shared" ca="1" si="0"/>
        <v>0</v>
      </c>
      <c r="U51" s="585">
        <f t="shared" ca="1" si="5"/>
        <v>0</v>
      </c>
      <c r="V51" s="585">
        <f t="shared" ca="1" si="1"/>
        <v>0</v>
      </c>
      <c r="W51" s="574" t="s">
        <v>1</v>
      </c>
    </row>
    <row r="52" spans="1:23" ht="38.25">
      <c r="A52" s="571" t="s">
        <v>264</v>
      </c>
      <c r="B52" s="626" t="s">
        <v>410</v>
      </c>
      <c r="C52" s="574" t="e">
        <f ca="1">1-((C45-C50)/2)/((273.15+C31)-C45/2+5-(273.15+C38-5))</f>
        <v>#DIV/0!</v>
      </c>
      <c r="D52" s="574" t="e">
        <f ca="1">1-((D45-D50)/2)/((273.15+D31)-D45/2+5-(273.15+D38-5))</f>
        <v>#DIV/0!</v>
      </c>
      <c r="E52" s="574" t="e">
        <f ca="1">1-((E45-E50)/2)/((273.15+E31)-E45/2+5-(273.15+E38-5))</f>
        <v>#DIV/0!</v>
      </c>
      <c r="F52" s="574" t="e">
        <f ca="1">1-((F45-F50)/2)/((273.15+F31)-F45/2+5-(273.15+F38-5))</f>
        <v>#DIV/0!</v>
      </c>
      <c r="G52" s="574" t="e">
        <f ca="1">1-((G45-G50)/2)/((273.15+G31)-G45/2+5-(273.15+G38-5))</f>
        <v>#DIV/0!</v>
      </c>
      <c r="I52" s="580" t="s">
        <v>447</v>
      </c>
      <c r="J52" s="578"/>
      <c r="Q52" s="583"/>
      <c r="R52" s="583"/>
      <c r="S52" s="583"/>
      <c r="U52" s="585"/>
      <c r="V52" s="585"/>
      <c r="W52" s="574"/>
    </row>
    <row r="53" spans="1:23" ht="38.25">
      <c r="A53" s="571" t="s">
        <v>265</v>
      </c>
      <c r="B53" s="626" t="s">
        <v>410</v>
      </c>
      <c r="C53" s="574" t="e">
        <f ca="1">1-((C46-C51)/2)/((273.15+C32)-C46/2+5-(273.15+C38-5))</f>
        <v>#DIV/0!</v>
      </c>
      <c r="D53" s="574" t="e">
        <f ca="1">1-((D46-D51)/2)/((273.15+D32)-D46/2+5-(273.15+D38-5))</f>
        <v>#DIV/0!</v>
      </c>
      <c r="E53" s="574" t="e">
        <f ca="1">1-((E46-E51)/2)/((273.15+E32)-E46/2+5-(273.15+E38-5))</f>
        <v>#DIV/0!</v>
      </c>
      <c r="F53" s="574" t="e">
        <f ca="1">1-((F46-F51)/2)/((273.15+F32)-F46/2+5-(273.15+F38-5))</f>
        <v>#DIV/0!</v>
      </c>
      <c r="G53" s="574" t="e">
        <f ca="1">1-((G46-G51)/2)/((273.15+G32)-G46/2+5-(273.15+G38-5))</f>
        <v>#DIV/0!</v>
      </c>
      <c r="I53" s="580" t="s">
        <v>448</v>
      </c>
      <c r="J53" s="578"/>
    </row>
    <row r="54" spans="1:23">
      <c r="A54" s="571" t="s">
        <v>266</v>
      </c>
      <c r="B54" s="626" t="s">
        <v>410</v>
      </c>
      <c r="C54" s="585" t="e">
        <f ca="1">C33*C52</f>
        <v>#DIV/0!</v>
      </c>
      <c r="D54" s="585" t="e">
        <f ca="1">D33*D52</f>
        <v>#DIV/0!</v>
      </c>
      <c r="E54" s="585" t="e">
        <f t="shared" ref="D54:G55" ca="1" si="31">E33*E52</f>
        <v>#DIV/0!</v>
      </c>
      <c r="F54" s="585" t="e">
        <f t="shared" ca="1" si="31"/>
        <v>#DIV/0!</v>
      </c>
      <c r="G54" s="585" t="e">
        <f t="shared" ca="1" si="31"/>
        <v>#DIV/0!</v>
      </c>
      <c r="J54" s="578"/>
    </row>
    <row r="55" spans="1:23">
      <c r="A55" s="571" t="s">
        <v>267</v>
      </c>
      <c r="B55" s="626" t="s">
        <v>410</v>
      </c>
      <c r="C55" s="574" t="e">
        <f ca="1">C34*C53</f>
        <v>#DIV/0!</v>
      </c>
      <c r="D55" s="574" t="e">
        <f t="shared" ca="1" si="31"/>
        <v>#DIV/0!</v>
      </c>
      <c r="E55" s="574" t="e">
        <f t="shared" ca="1" si="31"/>
        <v>#DIV/0!</v>
      </c>
      <c r="F55" s="574" t="e">
        <f t="shared" ca="1" si="31"/>
        <v>#DIV/0!</v>
      </c>
      <c r="G55" s="574" t="e">
        <f ca="1">G34*G53</f>
        <v>#DIV/0!</v>
      </c>
      <c r="J55" s="578"/>
    </row>
    <row r="56" spans="1:23" ht="78">
      <c r="A56" s="571" t="s">
        <v>268</v>
      </c>
      <c r="B56" s="580" t="s">
        <v>411</v>
      </c>
      <c r="C56" s="574" t="e">
        <f ca="1">MAX(0.5,IF($C$29="Error",IF($E$99="Fixed Outlet",C54,C54*(((273.15+C37)*(C31-C6))/((273.15+C31)*(C37-C38)))),((C55-C54)/(C32-C31))*(C39-C31)+C54))</f>
        <v>#DIV/0!</v>
      </c>
      <c r="D56" s="574" t="e">
        <f t="shared" ref="D56:G56" ca="1" si="32">MAX(0.5,IF($C$29="Error",IF($E$99="Fixed Outlet",D54,D54*(((273.15+D37)*(D31-D6))/((273.15+D31)*(D37-D38)))),((D55-D54)/(D32-D31))*(D39-D31)+D54))</f>
        <v>#DIV/0!</v>
      </c>
      <c r="E56" s="574" t="e">
        <f t="shared" ca="1" si="32"/>
        <v>#DIV/0!</v>
      </c>
      <c r="F56" s="574" t="e">
        <f t="shared" ca="1" si="32"/>
        <v>#DIV/0!</v>
      </c>
      <c r="G56" s="574" t="e">
        <f t="shared" ca="1" si="32"/>
        <v>#DIV/0!</v>
      </c>
      <c r="H56" s="574" t="s">
        <v>1</v>
      </c>
      <c r="I56" s="580" t="s">
        <v>421</v>
      </c>
      <c r="J56" s="578" t="s">
        <v>1</v>
      </c>
    </row>
    <row r="57" spans="1:23" ht="36" customHeight="1">
      <c r="A57" s="572" t="s">
        <v>1</v>
      </c>
      <c r="B57" s="572" t="s">
        <v>1</v>
      </c>
      <c r="C57" s="572" t="s">
        <v>1</v>
      </c>
      <c r="D57" s="572" t="s">
        <v>1</v>
      </c>
      <c r="E57" s="572" t="s">
        <v>1</v>
      </c>
      <c r="F57" s="572" t="s">
        <v>1</v>
      </c>
      <c r="G57" s="572" t="s">
        <v>1</v>
      </c>
      <c r="H57" s="572" t="s">
        <v>1</v>
      </c>
      <c r="J57" s="578"/>
    </row>
    <row r="58" spans="1:23">
      <c r="A58" s="571" t="s">
        <v>269</v>
      </c>
      <c r="C58" s="571" t="s">
        <v>270</v>
      </c>
      <c r="J58" s="578"/>
    </row>
    <row r="59" spans="1:23">
      <c r="J59" s="578"/>
    </row>
    <row r="60" spans="1:23">
      <c r="A60" s="571" t="s">
        <v>271</v>
      </c>
      <c r="B60" s="571" t="s">
        <v>43</v>
      </c>
      <c r="C60" s="574">
        <f ca="1">C8</f>
        <v>0</v>
      </c>
      <c r="D60" s="574">
        <f ca="1">D8</f>
        <v>0</v>
      </c>
      <c r="E60" s="574">
        <f ca="1">E8</f>
        <v>0</v>
      </c>
      <c r="F60" s="574">
        <f ca="1">F8</f>
        <v>0</v>
      </c>
      <c r="G60" s="574">
        <f ca="1">G8</f>
        <v>0</v>
      </c>
      <c r="H60" s="574">
        <f ca="1">SUM(C60:G60)</f>
        <v>0</v>
      </c>
      <c r="J60" s="578"/>
    </row>
    <row r="61" spans="1:23" ht="25.5">
      <c r="A61" s="578" t="s">
        <v>272</v>
      </c>
      <c r="B61" s="571" t="s">
        <v>43</v>
      </c>
      <c r="C61" s="585" t="e">
        <f ca="1">SUM(AC4:AC7)</f>
        <v>#VALUE!</v>
      </c>
      <c r="D61" s="585" t="e">
        <f ca="1">SUM(AC8:AC13)</f>
        <v>#VALUE!</v>
      </c>
      <c r="E61" s="585" t="e">
        <f ca="1">SUM(AC14:AC20)</f>
        <v>#VALUE!</v>
      </c>
      <c r="F61" s="585" t="e">
        <f ca="1">SUM(AC21:AC25)</f>
        <v>#VALUE!</v>
      </c>
      <c r="G61" s="585" t="e">
        <f ca="1">SUM(AC26:AC31)</f>
        <v>#VALUE!</v>
      </c>
      <c r="H61" s="585" t="e">
        <f ca="1">SUM(C61:G61)</f>
        <v>#VALUE!</v>
      </c>
      <c r="I61" s="588"/>
      <c r="J61" s="578"/>
      <c r="N61" s="572"/>
    </row>
    <row r="62" spans="1:23" ht="36.6" customHeight="1">
      <c r="A62" s="578" t="s">
        <v>273</v>
      </c>
      <c r="B62" s="571" t="s">
        <v>43</v>
      </c>
      <c r="C62" s="571" t="e">
        <f t="shared" ref="C62:H62" ca="1" si="33">C61/$E$118</f>
        <v>#VALUE!</v>
      </c>
      <c r="D62" s="571" t="e">
        <f t="shared" ca="1" si="33"/>
        <v>#VALUE!</v>
      </c>
      <c r="E62" s="571" t="e">
        <f t="shared" ca="1" si="33"/>
        <v>#VALUE!</v>
      </c>
      <c r="F62" s="571" t="e">
        <f t="shared" ca="1" si="33"/>
        <v>#VALUE!</v>
      </c>
      <c r="G62" s="571" t="e">
        <f t="shared" ca="1" si="33"/>
        <v>#VALUE!</v>
      </c>
      <c r="H62" s="571" t="e">
        <f t="shared" ca="1" si="33"/>
        <v>#VALUE!</v>
      </c>
      <c r="I62" s="577" t="s">
        <v>449</v>
      </c>
      <c r="J62" s="578"/>
    </row>
    <row r="63" spans="1:23">
      <c r="A63" s="571" t="s">
        <v>274</v>
      </c>
      <c r="J63" s="578"/>
    </row>
    <row r="64" spans="1:23">
      <c r="A64" s="571" t="s">
        <v>275</v>
      </c>
      <c r="J64" s="578"/>
    </row>
    <row r="65" spans="1:29">
      <c r="A65" s="571" t="s">
        <v>276</v>
      </c>
      <c r="J65" s="578"/>
    </row>
    <row r="66" spans="1:29">
      <c r="J66" s="578"/>
    </row>
    <row r="67" spans="1:29" ht="25.5">
      <c r="A67" s="577" t="s">
        <v>451</v>
      </c>
      <c r="B67" s="571" t="s">
        <v>43</v>
      </c>
      <c r="C67" s="585" t="e">
        <f ca="1">(C60-C61)/C56</f>
        <v>#VALUE!</v>
      </c>
      <c r="D67" s="585" t="e">
        <f ca="1">(D60-D61)/D56</f>
        <v>#VALUE!</v>
      </c>
      <c r="E67" s="585" t="e">
        <f ca="1">(E60-E61)/E56</f>
        <v>#VALUE!</v>
      </c>
      <c r="F67" s="585" t="e">
        <f ca="1">(F60-F61)/F56</f>
        <v>#VALUE!</v>
      </c>
      <c r="G67" s="585" t="e">
        <f ca="1">(G60-G61)/G56</f>
        <v>#VALUE!</v>
      </c>
      <c r="H67" s="585" t="e">
        <f ca="1">SUM(C67:G67)</f>
        <v>#VALUE!</v>
      </c>
      <c r="J67" s="578"/>
    </row>
    <row r="68" spans="1:29">
      <c r="A68" s="578"/>
      <c r="J68" s="578"/>
    </row>
    <row r="69" spans="1:29" ht="25.5">
      <c r="A69" s="577" t="s">
        <v>450</v>
      </c>
      <c r="B69" s="571" t="s">
        <v>43</v>
      </c>
      <c r="C69" s="585" t="e">
        <f ca="1">C62+C67</f>
        <v>#VALUE!</v>
      </c>
      <c r="D69" s="585" t="e">
        <f ca="1">D62+D67</f>
        <v>#VALUE!</v>
      </c>
      <c r="E69" s="585" t="e">
        <f ca="1">E62+E67</f>
        <v>#VALUE!</v>
      </c>
      <c r="F69" s="585" t="e">
        <f ca="1">F62+F67</f>
        <v>#VALUE!</v>
      </c>
      <c r="G69" s="585" t="e">
        <f ca="1">G62+G67</f>
        <v>#VALUE!</v>
      </c>
      <c r="H69" s="585" t="e">
        <f ca="1">SUM(C69:G69)</f>
        <v>#VALUE!</v>
      </c>
      <c r="J69" s="578"/>
    </row>
    <row r="70" spans="1:29">
      <c r="J70" s="578"/>
    </row>
    <row r="71" spans="1:29">
      <c r="A71" s="571" t="s">
        <v>277</v>
      </c>
      <c r="H71" s="628" t="e">
        <f ca="1">H60/H69</f>
        <v>#VALUE!</v>
      </c>
      <c r="J71" s="578"/>
    </row>
    <row r="72" spans="1:29">
      <c r="J72" s="578"/>
    </row>
    <row r="73" spans="1:29" s="629" customFormat="1">
      <c r="A73" s="629" t="s">
        <v>278</v>
      </c>
      <c r="H73" s="629" t="e">
        <f ca="1">IF(H71&gt;2.5,(H71-2.5)*H69,0)</f>
        <v>#VALUE!</v>
      </c>
      <c r="I73" s="629" t="s">
        <v>43</v>
      </c>
      <c r="J73" s="630"/>
      <c r="L73" s="630"/>
      <c r="AC73" s="630"/>
    </row>
    <row r="74" spans="1:29">
      <c r="J74" s="578"/>
    </row>
    <row r="75" spans="1:29">
      <c r="A75" s="571" t="s">
        <v>279</v>
      </c>
      <c r="B75" s="571" t="s">
        <v>43</v>
      </c>
      <c r="C75" s="574" t="e">
        <f ca="1">C60-C61</f>
        <v>#VALUE!</v>
      </c>
      <c r="D75" s="574" t="e">
        <f ca="1">D60-D61</f>
        <v>#VALUE!</v>
      </c>
      <c r="E75" s="574" t="e">
        <f ca="1">E60-E61</f>
        <v>#VALUE!</v>
      </c>
      <c r="F75" s="574" t="e">
        <f ca="1">F60-F61</f>
        <v>#VALUE!</v>
      </c>
      <c r="G75" s="574" t="e">
        <f ca="1">G60-G61</f>
        <v>#VALUE!</v>
      </c>
      <c r="H75" s="574" t="e">
        <f ca="1">SUM(C75:G75)</f>
        <v>#VALUE!</v>
      </c>
      <c r="J75" s="578"/>
      <c r="N75" s="578"/>
    </row>
    <row r="76" spans="1:29">
      <c r="J76" s="578"/>
    </row>
    <row r="77" spans="1:29">
      <c r="A77" s="571" t="s">
        <v>280</v>
      </c>
      <c r="H77" s="631" t="e">
        <f ca="1">H75/H67</f>
        <v>#VALUE!</v>
      </c>
      <c r="J77" s="578"/>
    </row>
    <row r="78" spans="1:29">
      <c r="J78" s="578"/>
    </row>
    <row r="79" spans="1:29">
      <c r="A79" s="571" t="s">
        <v>281</v>
      </c>
      <c r="C79" s="632" t="e">
        <f ca="1">(C60-C61)-C67</f>
        <v>#VALUE!</v>
      </c>
      <c r="D79" s="632" t="e">
        <f t="shared" ref="D79:H79" ca="1" si="34">(D60-D61)-D67</f>
        <v>#VALUE!</v>
      </c>
      <c r="E79" s="632" t="e">
        <f t="shared" ca="1" si="34"/>
        <v>#VALUE!</v>
      </c>
      <c r="F79" s="632" t="e">
        <f t="shared" ca="1" si="34"/>
        <v>#VALUE!</v>
      </c>
      <c r="G79" s="632" t="e">
        <f ca="1">(G60-G61)-G67</f>
        <v>#VALUE!</v>
      </c>
      <c r="H79" s="632" t="e">
        <f t="shared" ca="1" si="34"/>
        <v>#VALUE!</v>
      </c>
      <c r="I79" s="571" t="s">
        <v>43</v>
      </c>
      <c r="J79" s="578"/>
      <c r="N79" s="572"/>
    </row>
    <row r="80" spans="1:29">
      <c r="A80" s="5" t="s">
        <v>282</v>
      </c>
      <c r="B80" s="5"/>
      <c r="C80" s="633" t="e">
        <f ca="1">(C41*(1-1/C56)-($E$136*1.2/3600)*(20-(C3)))/(C41*(1-1/C56))</f>
        <v>#DIV/0!</v>
      </c>
      <c r="D80" s="633" t="e">
        <f ca="1">(D41*(1-1/D56)-($E$136*1.2/3600)*(20-(D3)))/(D41*(1-1/D56))</f>
        <v>#DIV/0!</v>
      </c>
      <c r="E80" s="633" t="e">
        <f ca="1">(E41*(1-1/E56)-($E$136*1.2/3600)*(20-(E3)))/(E41*(1-1/E56))</f>
        <v>#DIV/0!</v>
      </c>
      <c r="F80" s="633" t="e">
        <f ca="1">(F41*(1-1/F56)-($E$136*1.2/3600)*(20-(F3)))/(F41*(1-1/F56))</f>
        <v>#DIV/0!</v>
      </c>
      <c r="G80" s="633" t="e">
        <f ca="1">(G41*(1-1/G56)-($E$136*1.2/3600)*(20-(G3)))/(G41*(1-1/G56))</f>
        <v>#DIV/0!</v>
      </c>
      <c r="J80" s="578"/>
    </row>
    <row r="81" spans="1:14">
      <c r="J81" s="578"/>
    </row>
    <row r="82" spans="1:14">
      <c r="A82" s="572" t="s">
        <v>283</v>
      </c>
      <c r="C82" s="5" t="e">
        <f ca="1">C79*C80</f>
        <v>#VALUE!</v>
      </c>
      <c r="D82" s="5" t="e">
        <f t="shared" ref="D82:G82" ca="1" si="35">D79*D80</f>
        <v>#VALUE!</v>
      </c>
      <c r="E82" s="5" t="e">
        <f t="shared" ca="1" si="35"/>
        <v>#VALUE!</v>
      </c>
      <c r="F82" s="5" t="e">
        <f t="shared" ca="1" si="35"/>
        <v>#VALUE!</v>
      </c>
      <c r="G82" s="5" t="e">
        <f t="shared" ca="1" si="35"/>
        <v>#VALUE!</v>
      </c>
      <c r="H82" s="634" t="e">
        <f ca="1">SUM(C82:G82)</f>
        <v>#VALUE!</v>
      </c>
      <c r="I82" s="571" t="s">
        <v>284</v>
      </c>
      <c r="J82" s="578"/>
      <c r="N82" s="572"/>
    </row>
    <row r="83" spans="1:14">
      <c r="J83" s="578"/>
    </row>
    <row r="84" spans="1:14">
      <c r="J84" s="578"/>
    </row>
    <row r="85" spans="1:14">
      <c r="H85" s="635">
        <f ca="1">IF(LEFT(E98,7)="Exhaust",H82/H79,1)</f>
        <v>1</v>
      </c>
      <c r="I85" s="571" t="s">
        <v>333</v>
      </c>
      <c r="J85" s="578"/>
    </row>
    <row r="86" spans="1:14">
      <c r="H86" s="574"/>
      <c r="J86" s="578"/>
    </row>
    <row r="87" spans="1:14">
      <c r="J87" s="578"/>
    </row>
    <row r="88" spans="1:14">
      <c r="J88" s="578"/>
    </row>
    <row r="89" spans="1:14" ht="25.5">
      <c r="A89" s="636" t="s">
        <v>568</v>
      </c>
      <c r="B89" s="637" t="s">
        <v>553</v>
      </c>
      <c r="C89" s="637" t="s">
        <v>554</v>
      </c>
      <c r="D89" s="637" t="s">
        <v>555</v>
      </c>
      <c r="E89" s="638"/>
      <c r="F89" s="638"/>
      <c r="G89" s="638"/>
      <c r="H89" s="638"/>
      <c r="I89" s="639"/>
      <c r="J89" s="578"/>
    </row>
    <row r="90" spans="1:14" ht="60" customHeight="1">
      <c r="A90" s="640" t="s">
        <v>551</v>
      </c>
      <c r="B90" s="640" t="str">
        <f>RIGHT(B89)</f>
        <v>1</v>
      </c>
      <c r="C90" s="640" t="str">
        <f>RIGHT(C89)</f>
        <v>2</v>
      </c>
      <c r="D90" s="640" t="str">
        <f>RIGHT(D89)</f>
        <v>3</v>
      </c>
      <c r="E90" s="640" t="s">
        <v>552</v>
      </c>
      <c r="F90" s="641" t="s">
        <v>547</v>
      </c>
      <c r="G90" s="641" t="s">
        <v>550</v>
      </c>
      <c r="H90" s="641" t="s">
        <v>556</v>
      </c>
      <c r="I90" s="578"/>
      <c r="J90" s="578"/>
    </row>
    <row r="91" spans="1:14" ht="15.75">
      <c r="A91" s="316" t="str">
        <f>HP_1!O12</f>
        <v>Same HP for Space and Water Heating</v>
      </c>
      <c r="B91" s="642" t="b">
        <f>HP_1!N12</f>
        <v>1</v>
      </c>
      <c r="C91" s="643" t="b" cm="1">
        <f t="array" aca="1" ref="C91" ca="1">INDIRECT($F91&amp;C$90&amp;"!"&amp;$G91)</f>
        <v>0</v>
      </c>
      <c r="D91" s="643" t="b" cm="1">
        <f t="array" aca="1" ref="D91" ca="1">INDIRECT($F91&amp;D$90&amp;"!"&amp;$G91)</f>
        <v>0</v>
      </c>
      <c r="E91" s="327" t="b">
        <f ca="1">VLOOKUP(A91,A91:D91,$K$1+1,FALSE)</f>
        <v>0</v>
      </c>
      <c r="F91" s="644" t="str">
        <f ca="1">LEFT(H91,FIND("1",H91)-1)</f>
        <v>HP_</v>
      </c>
      <c r="G91" s="644" t="str">
        <f ca="1">RIGHT(H91,LEN(H91)-FIND("!",H91))</f>
        <v>N12</v>
      </c>
      <c r="H91" s="645" t="str">
        <f ca="1">SUBSTITUTE( _xlfn.FORMULATEXT(B91),"=","")</f>
        <v>HP_1!N12</v>
      </c>
    </row>
    <row r="92" spans="1:14" ht="15.75">
      <c r="A92" s="316" t="str">
        <f>HP_1!A3</f>
        <v>Total heat loss (W/K) taken from DEAP</v>
      </c>
      <c r="B92" s="646">
        <f>HP_1!B3</f>
        <v>0</v>
      </c>
      <c r="C92" s="643" cm="1">
        <f t="array" aca="1" ref="C92" ca="1">INDIRECT($F92&amp;C$90&amp;"!"&amp;$G92)</f>
        <v>0</v>
      </c>
      <c r="D92" s="643" cm="1">
        <f t="array" aca="1" ref="D92" ca="1">INDIRECT($F92&amp;D$90&amp;"!"&amp;$G92)</f>
        <v>0</v>
      </c>
      <c r="E92" s="328">
        <f ca="1">VLOOKUP(A92,A92:D92,$K$1+1,FALSE)</f>
        <v>0</v>
      </c>
      <c r="F92" s="644" t="str">
        <f ca="1">LEFT(H92,FIND("1",H92)-1)</f>
        <v>HP_</v>
      </c>
      <c r="G92" s="644" t="str">
        <f ca="1">RIGHT(H92,LEN(H92)-FIND("!",H92))</f>
        <v>B3</v>
      </c>
      <c r="H92" s="645" t="str">
        <f ca="1">SUBSTITUTE( _xlfn.FORMULATEXT(B92),"=","")</f>
        <v>HP_1!B3</v>
      </c>
    </row>
    <row r="93" spans="1:14" ht="60">
      <c r="A93" s="316" t="str">
        <f>HP_1!A4</f>
        <v>Heat Loss Watts</v>
      </c>
      <c r="B93" s="642" t="str">
        <f>HP_1!B4</f>
        <v>Please complete DEAPEntries tab</v>
      </c>
      <c r="C93" s="643" t="str" cm="1">
        <f t="array" aca="1" ref="C93" ca="1">INDIRECT($F93&amp;C$90&amp;"!"&amp;$G93)</f>
        <v>Please complete DEAPEntries tab</v>
      </c>
      <c r="D93" s="643" t="str" cm="1">
        <f t="array" aca="1" ref="D93" ca="1">INDIRECT($F93&amp;D$90&amp;"!"&amp;$G93)</f>
        <v>Please complete DEAPEntries tab</v>
      </c>
      <c r="E93" s="328" t="str">
        <f t="shared" ref="E93:E150" ca="1" si="36">VLOOKUP(A93,A93:D93,$K$1+1,FALSE)</f>
        <v>Please complete DEAPEntries tab</v>
      </c>
      <c r="F93" s="644" t="str">
        <f t="shared" ref="F93:F150" ca="1" si="37">LEFT(H93,FIND("1",H93)-1)</f>
        <v>HP_</v>
      </c>
      <c r="G93" s="644" t="str">
        <f t="shared" ref="G93:G150" ca="1" si="38">RIGHT(H93,LEN(H93)-FIND("!",H93))</f>
        <v>B4</v>
      </c>
      <c r="H93" s="645" t="str">
        <f t="shared" ref="H93:H150" ca="1" si="39">SUBSTITUTE( _xlfn.FORMULATEXT(B93),"=","")</f>
        <v>HP_1!B4</v>
      </c>
    </row>
    <row r="94" spans="1:14" ht="31.5">
      <c r="A94" s="316" t="str">
        <f>HP_1!A5</f>
        <v>Is this Heat Pump part of a Group Heating Scheme</v>
      </c>
      <c r="B94" s="642" t="str">
        <f>HP_1!B5</f>
        <v>No</v>
      </c>
      <c r="C94" s="643" t="str" cm="1">
        <f t="array" aca="1" ref="C94" ca="1">INDIRECT($F94&amp;C$90&amp;"!"&amp;$G94)</f>
        <v>No</v>
      </c>
      <c r="D94" s="643" t="str" cm="1">
        <f t="array" aca="1" ref="D94" ca="1">INDIRECT($F94&amp;D$90&amp;"!"&amp;$G94)</f>
        <v>No</v>
      </c>
      <c r="E94" s="329" t="str">
        <f t="shared" ca="1" si="36"/>
        <v>No</v>
      </c>
      <c r="F94" s="644" t="str">
        <f t="shared" ca="1" si="37"/>
        <v>HP_</v>
      </c>
      <c r="G94" s="644" t="str">
        <f t="shared" ca="1" si="38"/>
        <v>B5</v>
      </c>
      <c r="H94" s="645" t="str">
        <f t="shared" ca="1" si="39"/>
        <v>HP_1!B5</v>
      </c>
    </row>
    <row r="95" spans="1:14" ht="31.5">
      <c r="A95" s="316" t="str">
        <f>HP_1!A6</f>
        <v>Proportion of main space heating provided by this heat pump</v>
      </c>
      <c r="B95" s="642">
        <f>HP_1!B6</f>
        <v>0</v>
      </c>
      <c r="C95" s="643" cm="1">
        <f t="array" aca="1" ref="C95" ca="1">INDIRECT($F95&amp;C$90&amp;"!"&amp;$G95)</f>
        <v>0</v>
      </c>
      <c r="D95" s="643" cm="1">
        <f t="array" aca="1" ref="D95" ca="1">INDIRECT($F95&amp;D$90&amp;"!"&amp;$G95)</f>
        <v>0</v>
      </c>
      <c r="E95" s="330">
        <f t="shared" ca="1" si="36"/>
        <v>0</v>
      </c>
      <c r="F95" s="644" t="str">
        <f t="shared" ca="1" si="37"/>
        <v>HP_</v>
      </c>
      <c r="G95" s="644" t="str">
        <f t="shared" ca="1" si="38"/>
        <v>B6</v>
      </c>
      <c r="H95" s="645" t="str">
        <f t="shared" ca="1" si="39"/>
        <v>HP_1!B6</v>
      </c>
    </row>
    <row r="96" spans="1:14" ht="15.75">
      <c r="A96" s="316" t="str">
        <f>HP_1!A7</f>
        <v>Floor Area of Dwelling</v>
      </c>
      <c r="B96" s="642">
        <f>HP_1!B7</f>
        <v>0</v>
      </c>
      <c r="C96" s="643" cm="1">
        <f t="array" aca="1" ref="C96" ca="1">INDIRECT($F96&amp;C$90&amp;"!"&amp;$G96)</f>
        <v>0</v>
      </c>
      <c r="D96" s="643" cm="1">
        <f t="array" aca="1" ref="D96" ca="1">INDIRECT($F96&amp;D$90&amp;"!"&amp;$G96)</f>
        <v>0</v>
      </c>
      <c r="E96" s="329">
        <f t="shared" ca="1" si="36"/>
        <v>0</v>
      </c>
      <c r="F96" s="644" t="str">
        <f t="shared" ca="1" si="37"/>
        <v>HP_</v>
      </c>
      <c r="G96" s="644" t="str">
        <f t="shared" ca="1" si="38"/>
        <v>B7</v>
      </c>
      <c r="H96" s="645" t="str">
        <f t="shared" ca="1" si="39"/>
        <v>HP_1!B7</v>
      </c>
    </row>
    <row r="97" spans="1:8" ht="31.5">
      <c r="A97" s="316" t="str">
        <f>HP_1!A8</f>
        <v>If Heat Pump serves a Group Heat Scheme, the total Floor Area served by Heat Pump is:</v>
      </c>
      <c r="B97" s="642">
        <f>HP_1!B8</f>
        <v>0</v>
      </c>
      <c r="C97" s="643" cm="1">
        <f t="array" aca="1" ref="C97" ca="1">INDIRECT($F97&amp;C$90&amp;"!"&amp;$G97)</f>
        <v>0</v>
      </c>
      <c r="D97" s="643" cm="1">
        <f t="array" aca="1" ref="D97" ca="1">INDIRECT($F97&amp;D$90&amp;"!"&amp;$G97)</f>
        <v>0</v>
      </c>
      <c r="E97" s="329">
        <f t="shared" ca="1" si="36"/>
        <v>0</v>
      </c>
      <c r="F97" s="644" t="str">
        <f t="shared" ca="1" si="37"/>
        <v>HP_</v>
      </c>
      <c r="G97" s="644" t="str">
        <f t="shared" ca="1" si="38"/>
        <v>B8</v>
      </c>
      <c r="H97" s="645" t="str">
        <f t="shared" ca="1" si="39"/>
        <v>HP_1!B8</v>
      </c>
    </row>
    <row r="98" spans="1:8" ht="15.75">
      <c r="A98" s="316" t="str">
        <f>HP_1!A12</f>
        <v>Type of heat pump</v>
      </c>
      <c r="B98" s="642" t="str">
        <f>HP_1!B12</f>
        <v>Air to Water</v>
      </c>
      <c r="C98" s="643" t="str" cm="1">
        <f t="array" aca="1" ref="C98" ca="1">INDIRECT($F98&amp;C$90&amp;"!"&amp;$G98)</f>
        <v>Air to Water</v>
      </c>
      <c r="D98" s="643" t="str" cm="1">
        <f t="array" aca="1" ref="D98" ca="1">INDIRECT($F98&amp;D$90&amp;"!"&amp;$G98)</f>
        <v>Air to Water</v>
      </c>
      <c r="E98" s="329" t="str">
        <f t="shared" ca="1" si="36"/>
        <v>Air to Water</v>
      </c>
      <c r="F98" s="644" t="str">
        <f t="shared" ca="1" si="37"/>
        <v>HP_</v>
      </c>
      <c r="G98" s="644" t="str">
        <f t="shared" ca="1" si="38"/>
        <v>B12</v>
      </c>
      <c r="H98" s="645" t="str">
        <f t="shared" ca="1" si="39"/>
        <v>HP_1!B12</v>
      </c>
    </row>
    <row r="99" spans="1:8" ht="47.25">
      <c r="A99" s="316" t="str">
        <f>HP_1!A13</f>
        <v>Temperature Control 
(refered to as Capacity Control in Ecodesign Standard Template)</v>
      </c>
      <c r="B99" s="642" t="str">
        <f>HP_1!B13</f>
        <v>Fixed Outlet</v>
      </c>
      <c r="C99" s="643" t="str" cm="1">
        <f t="array" aca="1" ref="C99" ca="1">INDIRECT($F99&amp;C$90&amp;"!"&amp;$G99)</f>
        <v>Fixed Outlet</v>
      </c>
      <c r="D99" s="643" t="str" cm="1">
        <f t="array" aca="1" ref="D99" ca="1">INDIRECT($F99&amp;D$90&amp;"!"&amp;$G99)</f>
        <v>Fixed Outlet</v>
      </c>
      <c r="E99" s="329" t="str">
        <f t="shared" ca="1" si="36"/>
        <v>Fixed Outlet</v>
      </c>
      <c r="F99" s="644" t="str">
        <f t="shared" ca="1" si="37"/>
        <v>HP_</v>
      </c>
      <c r="G99" s="644" t="str">
        <f t="shared" ca="1" si="38"/>
        <v>B13</v>
      </c>
      <c r="H99" s="645" t="str">
        <f t="shared" ca="1" si="39"/>
        <v>HP_1!B13</v>
      </c>
    </row>
    <row r="100" spans="1:8" ht="15.75">
      <c r="A100" s="316" t="str">
        <f>HP_1!A14</f>
        <v>Space Heating Test Standard</v>
      </c>
      <c r="B100" s="646" t="str">
        <f>HP_1!B14</f>
        <v>I.S. EN 14825</v>
      </c>
      <c r="C100" s="643" t="str" cm="1">
        <f t="array" aca="1" ref="C100" ca="1">INDIRECT($F100&amp;C$90&amp;"!"&amp;$G100)</f>
        <v>I.S. EN 14825</v>
      </c>
      <c r="D100" s="643" t="str" cm="1">
        <f t="array" aca="1" ref="D100" ca="1">INDIRECT($F100&amp;D$90&amp;"!"&amp;$G100)</f>
        <v>I.S. EN 14825</v>
      </c>
      <c r="E100" s="327" t="str">
        <f t="shared" ca="1" si="36"/>
        <v>I.S. EN 14825</v>
      </c>
      <c r="F100" s="644" t="str">
        <f t="shared" ca="1" si="37"/>
        <v>HP_</v>
      </c>
      <c r="G100" s="644" t="str">
        <f t="shared" ca="1" si="38"/>
        <v>B14</v>
      </c>
      <c r="H100" s="645" t="str">
        <f t="shared" ca="1" si="39"/>
        <v>HP_1!B14</v>
      </c>
    </row>
    <row r="101" spans="1:8" ht="15.75">
      <c r="A101" s="316" t="str">
        <f>HP_1!A15</f>
        <v>Operation Limit Temperature (TOL)</v>
      </c>
      <c r="B101" s="646" t="str">
        <f>HP_1!B15</f>
        <v xml:space="preserve"> </v>
      </c>
      <c r="C101" s="643" cm="1">
        <f t="array" aca="1" ref="C101" ca="1">INDIRECT($F101&amp;C$90&amp;"!"&amp;$G101)</f>
        <v>0</v>
      </c>
      <c r="D101" s="643" cm="1">
        <f t="array" aca="1" ref="D101" ca="1">INDIRECT($F101&amp;D$90&amp;"!"&amp;$G101)</f>
        <v>0</v>
      </c>
      <c r="E101" s="327">
        <f t="shared" ca="1" si="36"/>
        <v>0</v>
      </c>
      <c r="F101" s="644" t="str">
        <f t="shared" ca="1" si="37"/>
        <v>HP_</v>
      </c>
      <c r="G101" s="644" t="str">
        <f t="shared" ca="1" si="38"/>
        <v>B15</v>
      </c>
      <c r="H101" s="645" t="str">
        <f t="shared" ca="1" si="39"/>
        <v>HP_1!B15</v>
      </c>
    </row>
    <row r="102" spans="1:8" ht="31.5">
      <c r="A102" s="316" t="str">
        <f>HP_1!A16</f>
        <v>Heating water operating limit temperature (WTOL)</v>
      </c>
      <c r="B102" s="646" t="str">
        <f>HP_1!B16</f>
        <v xml:space="preserve"> </v>
      </c>
      <c r="C102" s="643" cm="1">
        <f t="array" aca="1" ref="C102" ca="1">INDIRECT($F102&amp;C$90&amp;"!"&amp;$G102)</f>
        <v>0</v>
      </c>
      <c r="D102" s="643" cm="1">
        <f t="array" aca="1" ref="D102" ca="1">INDIRECT($F102&amp;D$90&amp;"!"&amp;$G102)</f>
        <v>0</v>
      </c>
      <c r="E102" s="327">
        <f t="shared" ca="1" si="36"/>
        <v>0</v>
      </c>
      <c r="F102" s="644" t="str">
        <f t="shared" ca="1" si="37"/>
        <v>HP_</v>
      </c>
      <c r="G102" s="644" t="str">
        <f t="shared" ca="1" si="38"/>
        <v>B16</v>
      </c>
      <c r="H102" s="645" t="str">
        <f t="shared" ca="1" si="39"/>
        <v>HP_1!B16</v>
      </c>
    </row>
    <row r="103" spans="1:8" ht="15.75">
      <c r="A103" s="316" t="str">
        <f>HP_1!A17</f>
        <v>Annual space heating provided by Heat Pump</v>
      </c>
      <c r="B103" s="646">
        <f>HP_1!B17</f>
        <v>0</v>
      </c>
      <c r="C103" s="643" cm="1">
        <f t="array" aca="1" ref="C103" ca="1">INDIRECT($F103&amp;C$90&amp;"!"&amp;$G103)</f>
        <v>0</v>
      </c>
      <c r="D103" s="643" cm="1">
        <f t="array" aca="1" ref="D103" ca="1">INDIRECT($F103&amp;D$90&amp;"!"&amp;$G103)</f>
        <v>0</v>
      </c>
      <c r="E103" s="331">
        <f t="shared" ca="1" si="36"/>
        <v>0</v>
      </c>
      <c r="F103" s="644" t="str">
        <f t="shared" ca="1" si="37"/>
        <v>HP_</v>
      </c>
      <c r="G103" s="644" t="str">
        <f t="shared" ca="1" si="38"/>
        <v>B17</v>
      </c>
      <c r="H103" s="645" t="str">
        <f t="shared" ca="1" si="39"/>
        <v>HP_1!B17</v>
      </c>
    </row>
    <row r="104" spans="1:8" ht="15.75">
      <c r="A104" s="316" t="str">
        <f>HP_1!A18</f>
        <v>Design Outdoor Temperature</v>
      </c>
      <c r="B104" s="642">
        <f>HP_1!B18</f>
        <v>-3</v>
      </c>
      <c r="C104" s="643" cm="1">
        <f t="array" aca="1" ref="C104" ca="1">INDIRECT($F104&amp;C$90&amp;"!"&amp;$G104)</f>
        <v>-3</v>
      </c>
      <c r="D104" s="643" cm="1">
        <f t="array" aca="1" ref="D104" ca="1">INDIRECT($F104&amp;D$90&amp;"!"&amp;$G104)</f>
        <v>-3</v>
      </c>
      <c r="E104" s="327">
        <f t="shared" ca="1" si="36"/>
        <v>-3</v>
      </c>
      <c r="F104" s="644" t="str">
        <f t="shared" ca="1" si="37"/>
        <v>HP_</v>
      </c>
      <c r="G104" s="644" t="str">
        <f t="shared" ca="1" si="38"/>
        <v>B18</v>
      </c>
      <c r="H104" s="645" t="str">
        <f t="shared" ca="1" si="39"/>
        <v>HP_1!B18</v>
      </c>
    </row>
    <row r="105" spans="1:8" ht="31.5">
      <c r="A105" s="316" t="str">
        <f>HP_1!A19</f>
        <v>Indoor Design Temperature (Mean Internal Temperature)</v>
      </c>
      <c r="B105" s="647" t="str">
        <f>HP_1!B19</f>
        <v>Please complete DEAP Entries tab</v>
      </c>
      <c r="C105" s="643" t="str" cm="1">
        <f t="array" aca="1" ref="C105" ca="1">INDIRECT($F105&amp;C$90&amp;"!"&amp;$G105)</f>
        <v>Please complete DEAP Entries tab</v>
      </c>
      <c r="D105" s="643" t="str" cm="1">
        <f t="array" aca="1" ref="D105" ca="1">INDIRECT($F105&amp;D$90&amp;"!"&amp;$G105)</f>
        <v>Please complete DEAP Entries tab</v>
      </c>
      <c r="E105" s="327" t="str">
        <f t="shared" ca="1" si="36"/>
        <v>Please complete DEAP Entries tab</v>
      </c>
      <c r="F105" s="644" t="str">
        <f t="shared" ca="1" si="37"/>
        <v>HP_</v>
      </c>
      <c r="G105" s="644" t="str">
        <f t="shared" ca="1" si="38"/>
        <v>B19</v>
      </c>
      <c r="H105" s="645" t="str">
        <f t="shared" ca="1" si="39"/>
        <v>HP_1!B19</v>
      </c>
    </row>
    <row r="106" spans="1:8" ht="15.75">
      <c r="A106" s="316" t="str">
        <f>HP_1!A24</f>
        <v>Air used as Emitter (to Air Units)</v>
      </c>
      <c r="B106" s="642" t="str">
        <f>HP_1!B24</f>
        <v>No</v>
      </c>
      <c r="C106" s="643" t="str" cm="1">
        <f t="array" aca="1" ref="C106" ca="1">INDIRECT($F106&amp;C$90&amp;"!"&amp;$G106)</f>
        <v>No</v>
      </c>
      <c r="D106" s="643" t="str" cm="1">
        <f t="array" aca="1" ref="D106" ca="1">INDIRECT($F106&amp;D$90&amp;"!"&amp;$G106)</f>
        <v>No</v>
      </c>
      <c r="E106" s="327" t="str">
        <f t="shared" ca="1" si="36"/>
        <v>No</v>
      </c>
      <c r="F106" s="644" t="str">
        <f t="shared" ca="1" si="37"/>
        <v>HP_</v>
      </c>
      <c r="G106" s="644" t="str">
        <f t="shared" ca="1" si="38"/>
        <v>B24</v>
      </c>
      <c r="H106" s="645" t="str">
        <f t="shared" ca="1" si="39"/>
        <v>HP_1!B24</v>
      </c>
    </row>
    <row r="107" spans="1:8" ht="47.25">
      <c r="A107" s="316" t="str">
        <f>HP_1!A25</f>
        <v>Design Flow Temperature
Use "Default Supply Temperature" unless other evidence available</v>
      </c>
      <c r="B107" s="642">
        <f>HP_1!B25</f>
        <v>0</v>
      </c>
      <c r="C107" s="643" cm="1">
        <f t="array" aca="1" ref="C107" ca="1">INDIRECT($F107&amp;C$90&amp;"!"&amp;$G107)</f>
        <v>0</v>
      </c>
      <c r="D107" s="643" cm="1">
        <f t="array" aca="1" ref="D107" ca="1">INDIRECT($F107&amp;D$90&amp;"!"&amp;$G107)</f>
        <v>0</v>
      </c>
      <c r="E107" s="327">
        <f t="shared" ca="1" si="36"/>
        <v>0</v>
      </c>
      <c r="F107" s="644" t="str">
        <f t="shared" ca="1" si="37"/>
        <v>HP_</v>
      </c>
      <c r="G107" s="644" t="str">
        <f t="shared" ca="1" si="38"/>
        <v>B25</v>
      </c>
      <c r="H107" s="645" t="str">
        <f t="shared" ca="1" si="39"/>
        <v>HP_1!B25</v>
      </c>
    </row>
    <row r="108" spans="1:8" ht="31.5">
      <c r="A108" s="316" t="str">
        <f>HP_1!A26</f>
        <v>Exponent n, characterising type of emission system</v>
      </c>
      <c r="B108" s="642">
        <f>HP_1!B26</f>
        <v>1.2</v>
      </c>
      <c r="C108" s="643" cm="1">
        <f t="array" aca="1" ref="C108" ca="1">INDIRECT($F108&amp;C$90&amp;"!"&amp;$G108)</f>
        <v>1.2</v>
      </c>
      <c r="D108" s="643" cm="1">
        <f t="array" aca="1" ref="D108" ca="1">INDIRECT($F108&amp;D$90&amp;"!"&amp;$G108)</f>
        <v>1.2</v>
      </c>
      <c r="E108" s="327">
        <f t="shared" ca="1" si="36"/>
        <v>1.2</v>
      </c>
      <c r="F108" s="644" t="str">
        <f t="shared" ca="1" si="37"/>
        <v>HP_</v>
      </c>
      <c r="G108" s="644" t="str">
        <f t="shared" ca="1" si="38"/>
        <v>B26</v>
      </c>
      <c r="H108" s="645" t="str">
        <f t="shared" ca="1" si="39"/>
        <v>HP_1!B26</v>
      </c>
    </row>
    <row r="109" spans="1:8" ht="15.75">
      <c r="A109" s="316" t="str">
        <f>HP_1!A27</f>
        <v>Emitter Temperature Drop</v>
      </c>
      <c r="B109" s="642">
        <f>HP_1!B27</f>
        <v>10</v>
      </c>
      <c r="C109" s="643" cm="1">
        <f t="array" aca="1" ref="C109" ca="1">INDIRECT($F109&amp;C$90&amp;"!"&amp;$G109)</f>
        <v>10</v>
      </c>
      <c r="D109" s="643" cm="1">
        <f t="array" aca="1" ref="D109" ca="1">INDIRECT($F109&amp;D$90&amp;"!"&amp;$G109)</f>
        <v>10</v>
      </c>
      <c r="E109" s="327">
        <f t="shared" ca="1" si="36"/>
        <v>10</v>
      </c>
      <c r="F109" s="644" t="str">
        <f t="shared" ca="1" si="37"/>
        <v>HP_</v>
      </c>
      <c r="G109" s="644" t="str">
        <f t="shared" ca="1" si="38"/>
        <v>B27</v>
      </c>
      <c r="H109" s="645" t="str">
        <f t="shared" ca="1" si="39"/>
        <v>HP_1!B27</v>
      </c>
    </row>
    <row r="110" spans="1:8" ht="15.75">
      <c r="A110" s="316" t="str">
        <f>HP_1!A28</f>
        <v>Return Temperature at design conditions</v>
      </c>
      <c r="B110" s="642">
        <f>HP_1!B28</f>
        <v>-10</v>
      </c>
      <c r="C110" s="643" cm="1">
        <f t="array" aca="1" ref="C110" ca="1">INDIRECT($F110&amp;C$90&amp;"!"&amp;$G110)</f>
        <v>-10</v>
      </c>
      <c r="D110" s="643" cm="1">
        <f t="array" aca="1" ref="D110" ca="1">INDIRECT($F110&amp;D$90&amp;"!"&amp;$G110)</f>
        <v>-10</v>
      </c>
      <c r="E110" s="327">
        <f t="shared" ca="1" si="36"/>
        <v>-10</v>
      </c>
      <c r="F110" s="644" t="str">
        <f t="shared" ca="1" si="37"/>
        <v>HP_</v>
      </c>
      <c r="G110" s="644" t="str">
        <f t="shared" ca="1" si="38"/>
        <v>B28</v>
      </c>
      <c r="H110" s="645" t="str">
        <f t="shared" ca="1" si="39"/>
        <v>HP_1!B28</v>
      </c>
    </row>
    <row r="111" spans="1:8" ht="15.75">
      <c r="A111" s="316" t="str">
        <f>HP_1!A29</f>
        <v>No of Hrs per Day Heat Pump in Operation</v>
      </c>
      <c r="B111" s="648">
        <f>HP_1!B29</f>
        <v>8</v>
      </c>
      <c r="C111" s="643" cm="1">
        <f t="array" aca="1" ref="C111" ca="1">INDIRECT($F111&amp;C$90&amp;"!"&amp;$G111)</f>
        <v>8</v>
      </c>
      <c r="D111" s="643" cm="1">
        <f t="array" aca="1" ref="D111" ca="1">INDIRECT($F111&amp;D$90&amp;"!"&amp;$G111)</f>
        <v>8</v>
      </c>
      <c r="E111" s="327">
        <f t="shared" ca="1" si="36"/>
        <v>8</v>
      </c>
      <c r="F111" s="644" t="str">
        <f t="shared" ca="1" si="37"/>
        <v>HP_</v>
      </c>
      <c r="G111" s="644" t="str">
        <f t="shared" ca="1" si="38"/>
        <v>B29</v>
      </c>
      <c r="H111" s="645" t="str">
        <f t="shared" ca="1" si="39"/>
        <v>HP_1!B29</v>
      </c>
    </row>
    <row r="112" spans="1:8" ht="15.75">
      <c r="A112" s="316" t="str">
        <f>HP_1!A30</f>
        <v>Cut-out hours</v>
      </c>
      <c r="B112" s="642">
        <f>HP_1!B30</f>
        <v>16</v>
      </c>
      <c r="C112" s="643" cm="1">
        <f t="array" aca="1" ref="C112" ca="1">INDIRECT($F112&amp;C$90&amp;"!"&amp;$G112)</f>
        <v>16</v>
      </c>
      <c r="D112" s="643" cm="1">
        <f t="array" aca="1" ref="D112" ca="1">INDIRECT($F112&amp;D$90&amp;"!"&amp;$G112)</f>
        <v>16</v>
      </c>
      <c r="E112" s="327">
        <f t="shared" ca="1" si="36"/>
        <v>16</v>
      </c>
      <c r="F112" s="644" t="str">
        <f t="shared" ca="1" si="37"/>
        <v>HP_</v>
      </c>
      <c r="G112" s="644" t="str">
        <f t="shared" ca="1" si="38"/>
        <v>B30</v>
      </c>
      <c r="H112" s="645" t="str">
        <f t="shared" ca="1" si="39"/>
        <v>HP_1!B30</v>
      </c>
    </row>
    <row r="113" spans="1:8" ht="15.75">
      <c r="A113" s="316" t="str">
        <f>HP_1!A31</f>
        <v>Heat pump fuel primary energy factor</v>
      </c>
      <c r="B113" s="642">
        <f>HP_1!B31</f>
        <v>2.08</v>
      </c>
      <c r="C113" s="643" cm="1">
        <f t="array" aca="1" ref="C113" ca="1">INDIRECT($F113&amp;C$90&amp;"!"&amp;$G113)</f>
        <v>2.08</v>
      </c>
      <c r="D113" s="643" cm="1">
        <f t="array" aca="1" ref="D113" ca="1">INDIRECT($F113&amp;D$90&amp;"!"&amp;$G113)</f>
        <v>2.08</v>
      </c>
      <c r="E113" s="327">
        <f t="shared" ca="1" si="36"/>
        <v>2.08</v>
      </c>
      <c r="F113" s="644" t="str">
        <f t="shared" ca="1" si="37"/>
        <v>HP_</v>
      </c>
      <c r="G113" s="644" t="str">
        <f t="shared" ca="1" si="38"/>
        <v>B31</v>
      </c>
      <c r="H113" s="645" t="str">
        <f t="shared" ca="1" si="39"/>
        <v>HP_1!B31</v>
      </c>
    </row>
    <row r="114" spans="1:8" ht="31.5">
      <c r="A114" s="316" t="str">
        <f>HP_1!A32</f>
        <v>Is a Back Up Space Heater Present within Dwelling</v>
      </c>
      <c r="B114" s="642" t="str">
        <f>HP_1!B32</f>
        <v>No</v>
      </c>
      <c r="C114" s="643" t="str" cm="1">
        <f t="array" aca="1" ref="C114" ca="1">INDIRECT($F114&amp;C$90&amp;"!"&amp;$G114)</f>
        <v>No</v>
      </c>
      <c r="D114" s="643" t="str" cm="1">
        <f t="array" aca="1" ref="D114" ca="1">INDIRECT($F114&amp;D$90&amp;"!"&amp;$G114)</f>
        <v>No</v>
      </c>
      <c r="E114" s="327" t="str">
        <f t="shared" ca="1" si="36"/>
        <v>No</v>
      </c>
      <c r="F114" s="644" t="str">
        <f t="shared" ca="1" si="37"/>
        <v>HP_</v>
      </c>
      <c r="G114" s="644" t="str">
        <f t="shared" ca="1" si="38"/>
        <v>B32</v>
      </c>
      <c r="H114" s="645" t="str">
        <f t="shared" ca="1" si="39"/>
        <v>HP_1!B32</v>
      </c>
    </row>
    <row r="115" spans="1:8" ht="15.75">
      <c r="A115" s="316" t="str">
        <f>HP_1!A33</f>
        <v>Back Up Space Heater Fuel</v>
      </c>
      <c r="B115" s="642" t="str">
        <f>HP_1!B33</f>
        <v>Electricity</v>
      </c>
      <c r="C115" s="643" t="str" cm="1">
        <f t="array" aca="1" ref="C115" ca="1">INDIRECT($F115&amp;C$90&amp;"!"&amp;$G115)</f>
        <v>Electricity</v>
      </c>
      <c r="D115" s="643" t="str" cm="1">
        <f t="array" aca="1" ref="D115" ca="1">INDIRECT($F115&amp;D$90&amp;"!"&amp;$G115)</f>
        <v>Electricity</v>
      </c>
      <c r="E115" s="327" t="str">
        <f t="shared" ca="1" si="36"/>
        <v>Electricity</v>
      </c>
      <c r="F115" s="644" t="str">
        <f t="shared" ca="1" si="37"/>
        <v>HP_</v>
      </c>
      <c r="G115" s="644" t="str">
        <f t="shared" ca="1" si="38"/>
        <v>B33</v>
      </c>
      <c r="H115" s="645" t="str">
        <f t="shared" ca="1" si="39"/>
        <v>HP_1!B33</v>
      </c>
    </row>
    <row r="116" spans="1:8" ht="15.75">
      <c r="A116" s="316" t="str">
        <f>HP_1!A34</f>
        <v>Primary Energy Factor for Back Up Space Heater</v>
      </c>
      <c r="B116" s="642">
        <f>HP_1!B34</f>
        <v>2.08</v>
      </c>
      <c r="C116" s="643" cm="1">
        <f t="array" aca="1" ref="C116" ca="1">INDIRECT($F116&amp;C$90&amp;"!"&amp;$G116)</f>
        <v>2.08</v>
      </c>
      <c r="D116" s="643" cm="1">
        <f t="array" aca="1" ref="D116" ca="1">INDIRECT($F116&amp;D$90&amp;"!"&amp;$G116)</f>
        <v>2.08</v>
      </c>
      <c r="E116" s="327">
        <f t="shared" ca="1" si="36"/>
        <v>2.08</v>
      </c>
      <c r="F116" s="644" t="str">
        <f t="shared" ca="1" si="37"/>
        <v>HP_</v>
      </c>
      <c r="G116" s="644" t="str">
        <f t="shared" ca="1" si="38"/>
        <v>B34</v>
      </c>
      <c r="H116" s="645" t="str">
        <f t="shared" ca="1" si="39"/>
        <v>HP_1!B34</v>
      </c>
    </row>
    <row r="117" spans="1:8" ht="15.75">
      <c r="A117" s="316" t="str">
        <f>HP_1!A35</f>
        <v>Efficiency of Back up Space Heater</v>
      </c>
      <c r="B117" s="642">
        <f>HP_1!B35</f>
        <v>0</v>
      </c>
      <c r="C117" s="643" cm="1">
        <f t="array" aca="1" ref="C117" ca="1">INDIRECT($F117&amp;C$90&amp;"!"&amp;$G117)</f>
        <v>0</v>
      </c>
      <c r="D117" s="643" cm="1">
        <f t="array" aca="1" ref="D117" ca="1">INDIRECT($F117&amp;D$90&amp;"!"&amp;$G117)</f>
        <v>0</v>
      </c>
      <c r="E117" s="327">
        <f t="shared" ca="1" si="36"/>
        <v>0</v>
      </c>
      <c r="F117" s="644" t="str">
        <f t="shared" ca="1" si="37"/>
        <v>HP_</v>
      </c>
      <c r="G117" s="644" t="str">
        <f t="shared" ca="1" si="38"/>
        <v>B35</v>
      </c>
      <c r="H117" s="645" t="str">
        <f t="shared" ca="1" si="39"/>
        <v>HP_1!B35</v>
      </c>
    </row>
    <row r="118" spans="1:8" ht="31.5">
      <c r="A118" s="316" t="str">
        <f>HP_1!A36</f>
        <v>Adjusted Efficiency of Back up Space Heater relative to fuel used for heat pump</v>
      </c>
      <c r="B118" s="649">
        <f>HP_1!B36</f>
        <v>1</v>
      </c>
      <c r="C118" s="643" cm="1">
        <f t="array" aca="1" ref="C118" ca="1">INDIRECT($F118&amp;C$90&amp;"!"&amp;$G118)</f>
        <v>1</v>
      </c>
      <c r="D118" s="643" cm="1">
        <f t="array" aca="1" ref="D118" ca="1">INDIRECT($F118&amp;D$90&amp;"!"&amp;$G118)</f>
        <v>1</v>
      </c>
      <c r="E118" s="332">
        <f t="shared" ca="1" si="36"/>
        <v>1</v>
      </c>
      <c r="F118" s="644" t="str">
        <f t="shared" ca="1" si="37"/>
        <v>HP_</v>
      </c>
      <c r="G118" s="644" t="str">
        <f t="shared" ca="1" si="38"/>
        <v>B36</v>
      </c>
      <c r="H118" s="645" t="str">
        <f t="shared" ca="1" si="39"/>
        <v>HP_1!B36</v>
      </c>
    </row>
    <row r="119" spans="1:8" ht="30">
      <c r="A119" s="316" t="str">
        <f>HP_1!$AD$1&amp;": temp1"</f>
        <v>Test temps: temp1</v>
      </c>
      <c r="B119" s="642" t="str">
        <f>HP_1!$AD2</f>
        <v>Low Temperature</v>
      </c>
      <c r="C119" s="643" t="str" cm="1">
        <f t="array" aca="1" ref="C119" ca="1">INDIRECT($F119&amp;C$90&amp;"!"&amp;$G119)</f>
        <v>Low Temperature</v>
      </c>
      <c r="D119" s="643" t="str" cm="1">
        <f t="array" aca="1" ref="D119" ca="1">INDIRECT($F119&amp;D$90&amp;"!"&amp;$G119)</f>
        <v>Low Temperature</v>
      </c>
      <c r="E119" s="329" t="str">
        <f t="shared" ca="1" si="36"/>
        <v>Low Temperature</v>
      </c>
      <c r="F119" s="644" t="str">
        <f t="shared" ca="1" si="37"/>
        <v>HP_</v>
      </c>
      <c r="G119" s="644" t="str">
        <f t="shared" ca="1" si="38"/>
        <v>$AD2</v>
      </c>
      <c r="H119" s="645" t="str">
        <f t="shared" ca="1" si="39"/>
        <v>HP_1!$AD2</v>
      </c>
    </row>
    <row r="120" spans="1:8" ht="30">
      <c r="A120" s="316" t="str">
        <f>HP_1!$AD$1&amp;": temp2"</f>
        <v>Test temps: temp2</v>
      </c>
      <c r="B120" s="642" t="str">
        <f>HP_1!$AD3</f>
        <v>Medium Temperature</v>
      </c>
      <c r="C120" s="643" t="str" cm="1">
        <f t="array" aca="1" ref="C120" ca="1">INDIRECT($F120&amp;C$90&amp;"!"&amp;$G120)</f>
        <v>Medium Temperature</v>
      </c>
      <c r="D120" s="643" t="str" cm="1">
        <f t="array" aca="1" ref="D120" ca="1">INDIRECT($F120&amp;D$90&amp;"!"&amp;$G120)</f>
        <v>Medium Temperature</v>
      </c>
      <c r="E120" s="329" t="str">
        <f t="shared" ca="1" si="36"/>
        <v>Medium Temperature</v>
      </c>
      <c r="F120" s="644" t="str">
        <f t="shared" ca="1" si="37"/>
        <v>HP_</v>
      </c>
      <c r="G120" s="644" t="str">
        <f t="shared" ca="1" si="38"/>
        <v>$AD3</v>
      </c>
      <c r="H120" s="645" t="str">
        <f t="shared" ca="1" si="39"/>
        <v>HP_1!$AD3</v>
      </c>
    </row>
    <row r="121" spans="1:8" ht="30">
      <c r="A121" s="316" t="str">
        <f>HP_1!$AD$1&amp;": temp3"</f>
        <v>Test temps: temp3</v>
      </c>
      <c r="B121" s="642" t="str">
        <f>HP_1!$AD4</f>
        <v>High Temperature</v>
      </c>
      <c r="C121" s="643" t="str" cm="1">
        <f t="array" aca="1" ref="C121" ca="1">INDIRECT($F121&amp;C$90&amp;"!"&amp;$G121)</f>
        <v>High Temperature</v>
      </c>
      <c r="D121" s="643" t="str" cm="1">
        <f t="array" aca="1" ref="D121" ca="1">INDIRECT($F121&amp;D$90&amp;"!"&amp;$G121)</f>
        <v>High Temperature</v>
      </c>
      <c r="E121" s="329" t="str">
        <f t="shared" ca="1" si="36"/>
        <v>High Temperature</v>
      </c>
      <c r="F121" s="644" t="str">
        <f t="shared" ca="1" si="37"/>
        <v>HP_</v>
      </c>
      <c r="G121" s="644" t="str">
        <f t="shared" ca="1" si="38"/>
        <v>$AD4</v>
      </c>
      <c r="H121" s="645" t="str">
        <f t="shared" ca="1" si="39"/>
        <v>HP_1!$AD4</v>
      </c>
    </row>
    <row r="122" spans="1:8" ht="30">
      <c r="A122" s="316" t="str">
        <f>HP_1!$AD$1&amp;": temp4"</f>
        <v>Test temps: temp4</v>
      </c>
      <c r="B122" s="642" t="str">
        <f>HP_1!$AD5</f>
        <v>Very high Temperature</v>
      </c>
      <c r="C122" s="643" t="str" cm="1">
        <f t="array" aca="1" ref="C122" ca="1">INDIRECT($F122&amp;C$90&amp;"!"&amp;$G122)</f>
        <v>Very high Temperature</v>
      </c>
      <c r="D122" s="643" t="str" cm="1">
        <f t="array" aca="1" ref="D122" ca="1">INDIRECT($F122&amp;D$90&amp;"!"&amp;$G122)</f>
        <v>Very high Temperature</v>
      </c>
      <c r="E122" s="329" t="str">
        <f t="shared" ca="1" si="36"/>
        <v>Very high Temperature</v>
      </c>
      <c r="F122" s="644" t="str">
        <f t="shared" ca="1" si="37"/>
        <v>HP_</v>
      </c>
      <c r="G122" s="644" t="str">
        <f t="shared" ca="1" si="38"/>
        <v>$AD5</v>
      </c>
      <c r="H122" s="645" t="str">
        <f t="shared" ca="1" si="39"/>
        <v>HP_1!$AD5</v>
      </c>
    </row>
    <row r="123" spans="1:8" ht="15.75">
      <c r="A123" s="316" t="str">
        <f>HP_1!$AE$1&amp;": temp1"</f>
        <v>For HP tab: temp1</v>
      </c>
      <c r="B123" s="642" t="str">
        <f>HP_1!$AE2</f>
        <v>Low</v>
      </c>
      <c r="C123" s="643" t="str" cm="1">
        <f t="array" aca="1" ref="C123" ca="1">INDIRECT($F123&amp;C$90&amp;"!"&amp;$G123)</f>
        <v>Low</v>
      </c>
      <c r="D123" s="643" t="str" cm="1">
        <f t="array" aca="1" ref="D123" ca="1">INDIRECT($F123&amp;D$90&amp;"!"&amp;$G123)</f>
        <v>Low</v>
      </c>
      <c r="E123" s="329" t="str">
        <f t="shared" ca="1" si="36"/>
        <v>Low</v>
      </c>
      <c r="F123" s="644" t="str">
        <f t="shared" ca="1" si="37"/>
        <v>HP_</v>
      </c>
      <c r="G123" s="644" t="str">
        <f t="shared" ca="1" si="38"/>
        <v>$AE2</v>
      </c>
      <c r="H123" s="645" t="str">
        <f t="shared" ca="1" si="39"/>
        <v>HP_1!$AE2</v>
      </c>
    </row>
    <row r="124" spans="1:8" ht="15.75">
      <c r="A124" s="316" t="str">
        <f>HP_1!$AE$1&amp;": temp2"</f>
        <v>For HP tab: temp2</v>
      </c>
      <c r="B124" s="642" t="str">
        <f>HP_1!$AE3</f>
        <v>Medium</v>
      </c>
      <c r="C124" s="643" t="str" cm="1">
        <f t="array" aca="1" ref="C124" ca="1">INDIRECT($F124&amp;C$90&amp;"!"&amp;$G124)</f>
        <v>Medium</v>
      </c>
      <c r="D124" s="643" t="str" cm="1">
        <f t="array" aca="1" ref="D124" ca="1">INDIRECT($F124&amp;D$90&amp;"!"&amp;$G124)</f>
        <v>Medium</v>
      </c>
      <c r="E124" s="329" t="str">
        <f t="shared" ca="1" si="36"/>
        <v>Medium</v>
      </c>
      <c r="F124" s="644" t="str">
        <f t="shared" ca="1" si="37"/>
        <v>HP_</v>
      </c>
      <c r="G124" s="644" t="str">
        <f t="shared" ca="1" si="38"/>
        <v>$AE3</v>
      </c>
      <c r="H124" s="645" t="str">
        <f t="shared" ca="1" si="39"/>
        <v>HP_1!$AE3</v>
      </c>
    </row>
    <row r="125" spans="1:8" ht="15.75">
      <c r="A125" s="316" t="str">
        <f>HP_1!$AE$1&amp;": temp3"</f>
        <v>For HP tab: temp3</v>
      </c>
      <c r="B125" s="642" t="str">
        <f>HP_1!$AE4</f>
        <v>High</v>
      </c>
      <c r="C125" s="643" t="str" cm="1">
        <f t="array" aca="1" ref="C125" ca="1">INDIRECT($F125&amp;C$90&amp;"!"&amp;$G125)</f>
        <v>High</v>
      </c>
      <c r="D125" s="643" t="str" cm="1">
        <f t="array" aca="1" ref="D125" ca="1">INDIRECT($F125&amp;D$90&amp;"!"&amp;$G125)</f>
        <v>High</v>
      </c>
      <c r="E125" s="329" t="str">
        <f t="shared" ca="1" si="36"/>
        <v>High</v>
      </c>
      <c r="F125" s="644" t="str">
        <f t="shared" ca="1" si="37"/>
        <v>HP_</v>
      </c>
      <c r="G125" s="644" t="str">
        <f t="shared" ca="1" si="38"/>
        <v>$AE4</v>
      </c>
      <c r="H125" s="645" t="str">
        <f t="shared" ca="1" si="39"/>
        <v>HP_1!$AE4</v>
      </c>
    </row>
    <row r="126" spans="1:8" ht="15.75">
      <c r="A126" s="316" t="str">
        <f>HP_1!$AE$1&amp;": temp4"</f>
        <v>For HP tab: temp4</v>
      </c>
      <c r="B126" s="642" t="str">
        <f>HP_1!$AE5</f>
        <v>Very high</v>
      </c>
      <c r="C126" s="643" t="str" cm="1">
        <f t="array" aca="1" ref="C126" ca="1">INDIRECT($F126&amp;C$90&amp;"!"&amp;$G126)</f>
        <v>Very high</v>
      </c>
      <c r="D126" s="643" t="str" cm="1">
        <f t="array" aca="1" ref="D126" ca="1">INDIRECT($F126&amp;D$90&amp;"!"&amp;$G126)</f>
        <v>Very high</v>
      </c>
      <c r="E126" s="329" t="str">
        <f t="shared" ca="1" si="36"/>
        <v>Very high</v>
      </c>
      <c r="F126" s="644" t="str">
        <f t="shared" ca="1" si="37"/>
        <v>HP_</v>
      </c>
      <c r="G126" s="644" t="str">
        <f t="shared" ca="1" si="38"/>
        <v>$AE5</v>
      </c>
      <c r="H126" s="645" t="str">
        <f t="shared" ca="1" si="39"/>
        <v>HP_1!$AE5</v>
      </c>
    </row>
    <row r="127" spans="1:8" ht="15.75">
      <c r="A127" s="316" t="str">
        <f>HP_1!B38</f>
        <v>High Temperature</v>
      </c>
      <c r="B127" s="649" t="str">
        <f>HP_1!C38</f>
        <v>Yes</v>
      </c>
      <c r="C127" s="643" t="str" cm="1">
        <f t="array" aca="1" ref="C127" ca="1">INDIRECT($F127&amp;C$90&amp;"!"&amp;$G127)</f>
        <v>Yes</v>
      </c>
      <c r="D127" s="643" t="str" cm="1">
        <f t="array" aca="1" ref="D127" ca="1">INDIRECT($F127&amp;D$90&amp;"!"&amp;$G127)</f>
        <v>Yes</v>
      </c>
      <c r="E127" s="332" t="str">
        <f t="shared" ca="1" si="36"/>
        <v>Yes</v>
      </c>
      <c r="F127" s="644" t="str">
        <f t="shared" ca="1" si="37"/>
        <v>HP_</v>
      </c>
      <c r="G127" s="644" t="str">
        <f t="shared" ca="1" si="38"/>
        <v>C38</v>
      </c>
      <c r="H127" s="645" t="str">
        <f t="shared" ca="1" si="39"/>
        <v>HP_1!C38</v>
      </c>
    </row>
    <row r="128" spans="1:8" ht="15.75">
      <c r="A128" s="316" t="str">
        <f>HP_1!B39</f>
        <v>Low Temperature</v>
      </c>
      <c r="B128" s="649" t="str">
        <f>HP_1!C39</f>
        <v>No</v>
      </c>
      <c r="C128" s="643" t="str" cm="1">
        <f t="array" aca="1" ref="C128" ca="1">INDIRECT($F128&amp;C$90&amp;"!"&amp;$G128)</f>
        <v>No</v>
      </c>
      <c r="D128" s="643" t="str" cm="1">
        <f t="array" aca="1" ref="D128" ca="1">INDIRECT($F128&amp;D$90&amp;"!"&amp;$G128)</f>
        <v>No</v>
      </c>
      <c r="E128" s="327" t="str">
        <f t="shared" ca="1" si="36"/>
        <v>No</v>
      </c>
      <c r="F128" s="644" t="str">
        <f t="shared" ca="1" si="37"/>
        <v>HP_</v>
      </c>
      <c r="G128" s="644" t="str">
        <f t="shared" ca="1" si="38"/>
        <v>C39</v>
      </c>
      <c r="H128" s="645" t="str">
        <f t="shared" ca="1" si="39"/>
        <v>HP_1!C39</v>
      </c>
    </row>
    <row r="129" spans="1:8" ht="15.75">
      <c r="A129" s="316" t="str">
        <f>HP_1!B40</f>
        <v>Medium Temperature</v>
      </c>
      <c r="B129" s="649" t="str">
        <f>HP_1!C40</f>
        <v>No</v>
      </c>
      <c r="C129" s="643" t="str" cm="1">
        <f t="array" aca="1" ref="C129" ca="1">INDIRECT($F129&amp;C$90&amp;"!"&amp;$G129)</f>
        <v>No</v>
      </c>
      <c r="D129" s="643" t="str" cm="1">
        <f t="array" aca="1" ref="D129" ca="1">INDIRECT($F129&amp;D$90&amp;"!"&amp;$G129)</f>
        <v>No</v>
      </c>
      <c r="E129" s="327" t="str">
        <f t="shared" ca="1" si="36"/>
        <v>No</v>
      </c>
      <c r="F129" s="644" t="str">
        <f t="shared" ca="1" si="37"/>
        <v>HP_</v>
      </c>
      <c r="G129" s="644" t="str">
        <f t="shared" ca="1" si="38"/>
        <v>C40</v>
      </c>
      <c r="H129" s="645" t="str">
        <f t="shared" ca="1" si="39"/>
        <v>HP_1!C40</v>
      </c>
    </row>
    <row r="130" spans="1:8" ht="15.75">
      <c r="A130" s="316" t="str">
        <f>HP_1!B41</f>
        <v>Very high Temperature</v>
      </c>
      <c r="B130" s="649" t="str">
        <f>HP_1!C41</f>
        <v>No</v>
      </c>
      <c r="C130" s="643" t="str" cm="1">
        <f t="array" aca="1" ref="C130" ca="1">INDIRECT($F130&amp;C$90&amp;"!"&amp;$G130)</f>
        <v>No</v>
      </c>
      <c r="D130" s="643" t="str" cm="1">
        <f t="array" aca="1" ref="D130" ca="1">INDIRECT($F130&amp;D$90&amp;"!"&amp;$G130)</f>
        <v>No</v>
      </c>
      <c r="E130" s="327" t="str">
        <f t="shared" ca="1" si="36"/>
        <v>No</v>
      </c>
      <c r="F130" s="644" t="str">
        <f t="shared" ca="1" si="37"/>
        <v>HP_</v>
      </c>
      <c r="G130" s="644" t="str">
        <f t="shared" ca="1" si="38"/>
        <v>C41</v>
      </c>
      <c r="H130" s="645" t="str">
        <f t="shared" ca="1" si="39"/>
        <v>HP_1!C41</v>
      </c>
    </row>
    <row r="131" spans="1:8" ht="31.5">
      <c r="A131" s="316" t="str">
        <f>HP_1!B42</f>
        <v>Maximum test temperature allowed for in tests to I.S. EN 14825</v>
      </c>
      <c r="B131" s="650">
        <f>HP_1!C42</f>
        <v>55</v>
      </c>
      <c r="C131" s="643" cm="1">
        <f t="array" aca="1" ref="C131" ca="1">INDIRECT($F131&amp;C$90&amp;"!"&amp;$G131)</f>
        <v>55</v>
      </c>
      <c r="D131" s="643" cm="1">
        <f t="array" aca="1" ref="D131" ca="1">INDIRECT($F131&amp;D$90&amp;"!"&amp;$G131)</f>
        <v>55</v>
      </c>
      <c r="E131" s="327">
        <f t="shared" ca="1" si="36"/>
        <v>55</v>
      </c>
      <c r="F131" s="644" t="str">
        <f t="shared" ca="1" si="37"/>
        <v>HP_</v>
      </c>
      <c r="G131" s="644" t="str">
        <f t="shared" ca="1" si="38"/>
        <v>C42</v>
      </c>
      <c r="H131" s="645" t="str">
        <f t="shared" ca="1" si="39"/>
        <v>HP_1!C42</v>
      </c>
    </row>
    <row r="132" spans="1:8" ht="45">
      <c r="A132" s="316" t="str">
        <f>HP_1!D10</f>
        <v xml:space="preserve">Is this a Low Temperature Heat Pump? </v>
      </c>
      <c r="B132" s="642" t="str">
        <f>HP_1!G10</f>
        <v>Not low temperature heat pump</v>
      </c>
      <c r="C132" s="643" t="str" cm="1">
        <f t="array" aca="1" ref="C132" ca="1">INDIRECT($F132&amp;C$90&amp;"!"&amp;$G132)</f>
        <v>Not low temperature heat pump</v>
      </c>
      <c r="D132" s="643" t="str" cm="1">
        <f t="array" aca="1" ref="D132" ca="1">INDIRECT($F132&amp;D$90&amp;"!"&amp;$G132)</f>
        <v>Not low temperature heat pump</v>
      </c>
      <c r="E132" s="329" t="str">
        <f t="shared" ca="1" si="36"/>
        <v>Not low temperature heat pump</v>
      </c>
      <c r="F132" s="644" t="str">
        <f t="shared" ca="1" si="37"/>
        <v>HP_</v>
      </c>
      <c r="G132" s="644" t="str">
        <f t="shared" ca="1" si="38"/>
        <v>G10</v>
      </c>
      <c r="H132" s="645" t="str">
        <f t="shared" ca="1" si="39"/>
        <v>HP_1!G10</v>
      </c>
    </row>
    <row r="133" spans="1:8" ht="15.75">
      <c r="A133" s="316" t="str">
        <f>HP_1!D11</f>
        <v xml:space="preserve">Is this heat pump electric or gas (GAHP)? </v>
      </c>
      <c r="B133" s="642" t="str">
        <f>HP_1!G11</f>
        <v>Electricity</v>
      </c>
      <c r="C133" s="643" t="str" cm="1">
        <f t="array" aca="1" ref="C133" ca="1">INDIRECT($F133&amp;C$90&amp;"!"&amp;$G133)</f>
        <v>Electricity</v>
      </c>
      <c r="D133" s="643" t="str" cm="1">
        <f t="array" aca="1" ref="D133" ca="1">INDIRECT($F133&amp;D$90&amp;"!"&amp;$G133)</f>
        <v>Electricity</v>
      </c>
      <c r="E133" s="329" t="str">
        <f t="shared" ca="1" si="36"/>
        <v>Electricity</v>
      </c>
      <c r="F133" s="644" t="str">
        <f t="shared" ca="1" si="37"/>
        <v>HP_</v>
      </c>
      <c r="G133" s="644" t="str">
        <f t="shared" ca="1" si="38"/>
        <v>G11</v>
      </c>
      <c r="H133" s="645" t="str">
        <f t="shared" ca="1" si="39"/>
        <v>HP_1!G11</v>
      </c>
    </row>
    <row r="134" spans="1:8" ht="60">
      <c r="A134" s="316" t="str">
        <f>HP_1!D12</f>
        <v>What is the status of this heat pump regarding Ecodesign data?</v>
      </c>
      <c r="B134" s="651" t="str">
        <f>HP_1!G12</f>
        <v>Ecodesign applies and/or ecodesign data available</v>
      </c>
      <c r="C134" s="643" t="str" cm="1">
        <f t="array" aca="1" ref="C134" ca="1">INDIRECT($F134&amp;C$90&amp;"!"&amp;$G134)</f>
        <v>Ecodesign applies and/or ecodesign data available</v>
      </c>
      <c r="D134" s="643" t="str" cm="1">
        <f t="array" aca="1" ref="D134" ca="1">INDIRECT($F134&amp;D$90&amp;"!"&amp;$G134)</f>
        <v>Ecodesign applies and/or ecodesign data available</v>
      </c>
      <c r="E134" s="329" t="str">
        <f t="shared" ca="1" si="36"/>
        <v>Ecodesign applies and/or ecodesign data available</v>
      </c>
      <c r="F134" s="644" t="str">
        <f t="shared" ca="1" si="37"/>
        <v>HP_</v>
      </c>
      <c r="G134" s="644" t="str">
        <f t="shared" ca="1" si="38"/>
        <v>G12</v>
      </c>
      <c r="H134" s="645" t="str">
        <f t="shared" ca="1" si="39"/>
        <v>HP_1!G12</v>
      </c>
    </row>
    <row r="135" spans="1:8" ht="15.75">
      <c r="A135" s="316" t="str">
        <f>HP_1!A69</f>
        <v>Output from Main Water Heater</v>
      </c>
      <c r="B135" s="646">
        <f>HP_1!B69</f>
        <v>0</v>
      </c>
      <c r="C135" s="643" cm="1">
        <f t="array" aca="1" ref="C135" ca="1">INDIRECT($F135&amp;C$90&amp;"!"&amp;$G135)</f>
        <v>0</v>
      </c>
      <c r="D135" s="643" cm="1">
        <f t="array" aca="1" ref="D135" ca="1">INDIRECT($F135&amp;D$90&amp;"!"&amp;$G135)</f>
        <v>0</v>
      </c>
      <c r="E135" s="328">
        <f t="shared" ca="1" si="36"/>
        <v>0</v>
      </c>
      <c r="F135" s="644" t="str">
        <f t="shared" ca="1" si="37"/>
        <v>HP_</v>
      </c>
      <c r="G135" s="644" t="str">
        <f t="shared" ca="1" si="38"/>
        <v>B69</v>
      </c>
      <c r="H135" s="645" t="str">
        <f t="shared" ca="1" si="39"/>
        <v>HP_1!B69</v>
      </c>
    </row>
    <row r="136" spans="1:8" ht="15.75">
      <c r="A136" s="323" t="str">
        <f>HP_1!G111</f>
        <v>Exhaust Air Flow Rate (m3/hr)</v>
      </c>
      <c r="B136" s="646">
        <f>HP_1!G112</f>
        <v>0</v>
      </c>
      <c r="C136" s="643" cm="1">
        <f t="array" aca="1" ref="C136" ca="1">INDIRECT($F136&amp;C$90&amp;"!"&amp;$G136)</f>
        <v>0</v>
      </c>
      <c r="D136" s="643" cm="1">
        <f t="array" aca="1" ref="D136" ca="1">INDIRECT($F136&amp;D$90&amp;"!"&amp;$G136)</f>
        <v>0</v>
      </c>
      <c r="E136" s="327">
        <f t="shared" ca="1" si="36"/>
        <v>0</v>
      </c>
      <c r="F136" s="644" t="str">
        <f t="shared" ca="1" si="37"/>
        <v>HP_</v>
      </c>
      <c r="G136" s="644" t="str">
        <f t="shared" ca="1" si="38"/>
        <v>G112</v>
      </c>
      <c r="H136" s="645" t="str">
        <f t="shared" ca="1" si="39"/>
        <v>HP_1!G112</v>
      </c>
    </row>
    <row r="137" spans="1:8" ht="15.75">
      <c r="A137" s="316" t="str">
        <f>"Cdh placeholder"&amp;A128</f>
        <v>Cdh placeholderLow Temperature</v>
      </c>
      <c r="B137" s="642" t="s">
        <v>558</v>
      </c>
      <c r="C137" s="643" t="e" cm="1">
        <f t="array" aca="1" ref="C137" ca="1">INDIRECT($F137&amp;C$90&amp;"!"&amp;$G137)</f>
        <v>#N/A</v>
      </c>
      <c r="D137" s="643" t="e" cm="1">
        <f t="array" aca="1" ref="D137" ca="1">INDIRECT($F137&amp;D$90&amp;"!"&amp;$G137)</f>
        <v>#N/A</v>
      </c>
      <c r="E137" s="327" t="e">
        <f t="shared" ca="1" si="36"/>
        <v>#N/A</v>
      </c>
      <c r="F137" s="644" t="e">
        <f t="shared" ca="1" si="37"/>
        <v>#N/A</v>
      </c>
      <c r="G137" s="644" t="e">
        <f t="shared" ca="1" si="38"/>
        <v>#N/A</v>
      </c>
      <c r="H137" s="645" t="e">
        <f t="shared" ca="1" si="39"/>
        <v>#N/A</v>
      </c>
    </row>
    <row r="138" spans="1:8" ht="15.75">
      <c r="A138" s="316" t="str">
        <f>"Cdh placeholder"&amp;A129</f>
        <v>Cdh placeholderMedium Temperature</v>
      </c>
      <c r="B138" s="642" t="s">
        <v>558</v>
      </c>
      <c r="C138" s="643" t="e" cm="1">
        <f t="array" aca="1" ref="C138" ca="1">INDIRECT($F138&amp;C$90&amp;"!"&amp;$G138)</f>
        <v>#N/A</v>
      </c>
      <c r="D138" s="643" t="e" cm="1">
        <f t="array" aca="1" ref="D138" ca="1">INDIRECT($F138&amp;D$90&amp;"!"&amp;$G138)</f>
        <v>#N/A</v>
      </c>
      <c r="E138" s="327" t="e">
        <f t="shared" ca="1" si="36"/>
        <v>#N/A</v>
      </c>
      <c r="F138" s="644" t="e">
        <f t="shared" ca="1" si="37"/>
        <v>#N/A</v>
      </c>
      <c r="G138" s="644" t="e">
        <f t="shared" ca="1" si="38"/>
        <v>#N/A</v>
      </c>
      <c r="H138" s="645" t="e">
        <f t="shared" ca="1" si="39"/>
        <v>#N/A</v>
      </c>
    </row>
    <row r="139" spans="1:8" ht="15.75">
      <c r="A139" s="316" t="str">
        <f>"Cdh placeholder"&amp;A127</f>
        <v>Cdh placeholderHigh Temperature</v>
      </c>
      <c r="B139" s="642" t="s">
        <v>558</v>
      </c>
      <c r="C139" s="643" t="e" cm="1">
        <f t="array" aca="1" ref="C139" ca="1">INDIRECT($F139&amp;C$90&amp;"!"&amp;$G139)</f>
        <v>#N/A</v>
      </c>
      <c r="D139" s="643" t="e" cm="1">
        <f t="array" aca="1" ref="D139" ca="1">INDIRECT($F139&amp;D$90&amp;"!"&amp;$G139)</f>
        <v>#N/A</v>
      </c>
      <c r="E139" s="327" t="e">
        <f t="shared" ca="1" si="36"/>
        <v>#N/A</v>
      </c>
      <c r="F139" s="644" t="e">
        <f t="shared" ca="1" si="37"/>
        <v>#N/A</v>
      </c>
      <c r="G139" s="644" t="e">
        <f t="shared" ca="1" si="38"/>
        <v>#N/A</v>
      </c>
      <c r="H139" s="645" t="e">
        <f t="shared" ca="1" si="39"/>
        <v>#N/A</v>
      </c>
    </row>
    <row r="140" spans="1:8" ht="15.75">
      <c r="A140" s="316" t="str">
        <f>"Cdh placeholder"&amp;A130</f>
        <v>Cdh placeholderVery high Temperature</v>
      </c>
      <c r="B140" s="642" t="s">
        <v>558</v>
      </c>
      <c r="C140" s="643" t="e" cm="1">
        <f t="array" aca="1" ref="C140" ca="1">INDIRECT($F140&amp;C$90&amp;"!"&amp;$G140)</f>
        <v>#N/A</v>
      </c>
      <c r="D140" s="643" t="e" cm="1">
        <f t="array" aca="1" ref="D140" ca="1">INDIRECT($F140&amp;D$90&amp;"!"&amp;$G140)</f>
        <v>#N/A</v>
      </c>
      <c r="E140" s="327" t="e">
        <f t="shared" ca="1" si="36"/>
        <v>#N/A</v>
      </c>
      <c r="F140" s="644" t="e">
        <f t="shared" ca="1" si="37"/>
        <v>#N/A</v>
      </c>
      <c r="G140" s="644" t="e">
        <f t="shared" ca="1" si="38"/>
        <v>#N/A</v>
      </c>
      <c r="H140" s="645" t="e">
        <f t="shared" ca="1" si="39"/>
        <v>#N/A</v>
      </c>
    </row>
    <row r="141" spans="1:8" ht="15.75">
      <c r="A141" s="316" t="s">
        <v>558</v>
      </c>
      <c r="B141" s="642" t="s">
        <v>558</v>
      </c>
      <c r="C141" s="643" t="e" cm="1">
        <f t="array" aca="1" ref="C141" ca="1">INDIRECT($F141&amp;C$90&amp;"!"&amp;$G141)</f>
        <v>#N/A</v>
      </c>
      <c r="D141" s="643" t="e" cm="1">
        <f t="array" aca="1" ref="D141" ca="1">INDIRECT($F141&amp;D$90&amp;"!"&amp;$G141)</f>
        <v>#N/A</v>
      </c>
      <c r="E141" s="327" t="e">
        <f t="shared" ca="1" si="36"/>
        <v>#N/A</v>
      </c>
      <c r="F141" s="644" t="e">
        <f t="shared" ca="1" si="37"/>
        <v>#N/A</v>
      </c>
      <c r="G141" s="644" t="e">
        <f t="shared" ca="1" si="38"/>
        <v>#N/A</v>
      </c>
      <c r="H141" s="645" t="e">
        <f t="shared" ca="1" si="39"/>
        <v>#N/A</v>
      </c>
    </row>
    <row r="142" spans="1:8" ht="15.75">
      <c r="A142" s="316" t="s">
        <v>558</v>
      </c>
      <c r="B142" s="642" t="s">
        <v>558</v>
      </c>
      <c r="C142" s="643" t="e" cm="1">
        <f t="array" aca="1" ref="C142" ca="1">INDIRECT($F142&amp;C$90&amp;"!"&amp;$G142)</f>
        <v>#N/A</v>
      </c>
      <c r="D142" s="643" t="e" cm="1">
        <f t="array" aca="1" ref="D142" ca="1">INDIRECT($F142&amp;D$90&amp;"!"&amp;$G142)</f>
        <v>#N/A</v>
      </c>
      <c r="E142" s="327" t="e">
        <f t="shared" ca="1" si="36"/>
        <v>#N/A</v>
      </c>
      <c r="F142" s="644" t="e">
        <f t="shared" ca="1" si="37"/>
        <v>#N/A</v>
      </c>
      <c r="G142" s="644" t="e">
        <f t="shared" ca="1" si="38"/>
        <v>#N/A</v>
      </c>
      <c r="H142" s="645" t="e">
        <f t="shared" ca="1" si="39"/>
        <v>#N/A</v>
      </c>
    </row>
    <row r="143" spans="1:8" ht="15.75">
      <c r="A143" s="316" t="s">
        <v>558</v>
      </c>
      <c r="B143" s="642" t="s">
        <v>558</v>
      </c>
      <c r="C143" s="643" t="e" cm="1">
        <f t="array" aca="1" ref="C143" ca="1">INDIRECT($F143&amp;C$90&amp;"!"&amp;$G143)</f>
        <v>#N/A</v>
      </c>
      <c r="D143" s="643" t="e" cm="1">
        <f t="array" aca="1" ref="D143" ca="1">INDIRECT($F143&amp;D$90&amp;"!"&amp;$G143)</f>
        <v>#N/A</v>
      </c>
      <c r="E143" s="327" t="e">
        <f t="shared" ca="1" si="36"/>
        <v>#N/A</v>
      </c>
      <c r="F143" s="644" t="e">
        <f t="shared" ca="1" si="37"/>
        <v>#N/A</v>
      </c>
      <c r="G143" s="644" t="e">
        <f t="shared" ca="1" si="38"/>
        <v>#N/A</v>
      </c>
      <c r="H143" s="645" t="e">
        <f t="shared" ca="1" si="39"/>
        <v>#N/A</v>
      </c>
    </row>
    <row r="144" spans="1:8" ht="15.75">
      <c r="A144" s="316" t="s">
        <v>558</v>
      </c>
      <c r="B144" s="642" t="s">
        <v>558</v>
      </c>
      <c r="C144" s="643" t="e" cm="1">
        <f t="array" aca="1" ref="C144" ca="1">INDIRECT($F144&amp;C$90&amp;"!"&amp;$G144)</f>
        <v>#N/A</v>
      </c>
      <c r="D144" s="643" t="e" cm="1">
        <f t="array" aca="1" ref="D144" ca="1">INDIRECT($F144&amp;D$90&amp;"!"&amp;$G144)</f>
        <v>#N/A</v>
      </c>
      <c r="E144" s="327" t="e">
        <f t="shared" ca="1" si="36"/>
        <v>#N/A</v>
      </c>
      <c r="F144" s="644" t="e">
        <f t="shared" ca="1" si="37"/>
        <v>#N/A</v>
      </c>
      <c r="G144" s="644" t="e">
        <f t="shared" ca="1" si="38"/>
        <v>#N/A</v>
      </c>
      <c r="H144" s="645" t="e">
        <f t="shared" ca="1" si="39"/>
        <v>#N/A</v>
      </c>
    </row>
    <row r="145" spans="1:37" ht="15.75">
      <c r="A145" s="316" t="s">
        <v>558</v>
      </c>
      <c r="B145" s="642" t="s">
        <v>558</v>
      </c>
      <c r="C145" s="643" t="e" cm="1">
        <f t="array" aca="1" ref="C145" ca="1">INDIRECT($F145&amp;C$90&amp;"!"&amp;$G145)</f>
        <v>#N/A</v>
      </c>
      <c r="D145" s="643" t="e" cm="1">
        <f t="array" aca="1" ref="D145" ca="1">INDIRECT($F145&amp;D$90&amp;"!"&amp;$G145)</f>
        <v>#N/A</v>
      </c>
      <c r="E145" s="327" t="e">
        <f t="shared" ca="1" si="36"/>
        <v>#N/A</v>
      </c>
      <c r="F145" s="644" t="e">
        <f t="shared" ca="1" si="37"/>
        <v>#N/A</v>
      </c>
      <c r="G145" s="644" t="e">
        <f t="shared" ca="1" si="38"/>
        <v>#N/A</v>
      </c>
      <c r="H145" s="645" t="e">
        <f t="shared" ca="1" si="39"/>
        <v>#N/A</v>
      </c>
    </row>
    <row r="146" spans="1:37" ht="15.75">
      <c r="A146" s="316" t="s">
        <v>558</v>
      </c>
      <c r="B146" s="642" t="s">
        <v>558</v>
      </c>
      <c r="C146" s="643" t="e" cm="1">
        <f t="array" aca="1" ref="C146" ca="1">INDIRECT($F146&amp;C$90&amp;"!"&amp;$G146)</f>
        <v>#N/A</v>
      </c>
      <c r="D146" s="643" t="e" cm="1">
        <f t="array" aca="1" ref="D146" ca="1">INDIRECT($F146&amp;D$90&amp;"!"&amp;$G146)</f>
        <v>#N/A</v>
      </c>
      <c r="E146" s="327" t="e">
        <f t="shared" ca="1" si="36"/>
        <v>#N/A</v>
      </c>
      <c r="F146" s="644" t="e">
        <f t="shared" ca="1" si="37"/>
        <v>#N/A</v>
      </c>
      <c r="G146" s="644" t="e">
        <f t="shared" ca="1" si="38"/>
        <v>#N/A</v>
      </c>
      <c r="H146" s="645" t="e">
        <f t="shared" ca="1" si="39"/>
        <v>#N/A</v>
      </c>
    </row>
    <row r="147" spans="1:37" ht="15.75">
      <c r="A147" s="316" t="s">
        <v>558</v>
      </c>
      <c r="B147" s="642" t="s">
        <v>558</v>
      </c>
      <c r="C147" s="643" t="e" cm="1">
        <f t="array" aca="1" ref="C147" ca="1">INDIRECT($F147&amp;C$90&amp;"!"&amp;$G147)</f>
        <v>#N/A</v>
      </c>
      <c r="D147" s="643" t="e" cm="1">
        <f t="array" aca="1" ref="D147" ca="1">INDIRECT($F147&amp;D$90&amp;"!"&amp;$G147)</f>
        <v>#N/A</v>
      </c>
      <c r="E147" s="327" t="e">
        <f t="shared" ca="1" si="36"/>
        <v>#N/A</v>
      </c>
      <c r="F147" s="644" t="e">
        <f t="shared" ca="1" si="37"/>
        <v>#N/A</v>
      </c>
      <c r="G147" s="644" t="e">
        <f t="shared" ca="1" si="38"/>
        <v>#N/A</v>
      </c>
      <c r="H147" s="645" t="e">
        <f t="shared" ca="1" si="39"/>
        <v>#N/A</v>
      </c>
    </row>
    <row r="148" spans="1:37" ht="15.75">
      <c r="A148" s="316" t="s">
        <v>558</v>
      </c>
      <c r="B148" s="642" t="s">
        <v>558</v>
      </c>
      <c r="C148" s="643" t="e" cm="1">
        <f t="array" aca="1" ref="C148" ca="1">INDIRECT($F148&amp;C$90&amp;"!"&amp;$G148)</f>
        <v>#N/A</v>
      </c>
      <c r="D148" s="643" t="e" cm="1">
        <f t="array" aca="1" ref="D148" ca="1">INDIRECT($F148&amp;D$90&amp;"!"&amp;$G148)</f>
        <v>#N/A</v>
      </c>
      <c r="E148" s="327" t="e">
        <f t="shared" ca="1" si="36"/>
        <v>#N/A</v>
      </c>
      <c r="F148" s="644" t="e">
        <f t="shared" ca="1" si="37"/>
        <v>#N/A</v>
      </c>
      <c r="G148" s="644" t="e">
        <f t="shared" ca="1" si="38"/>
        <v>#N/A</v>
      </c>
      <c r="H148" s="645" t="e">
        <f t="shared" ca="1" si="39"/>
        <v>#N/A</v>
      </c>
    </row>
    <row r="149" spans="1:37" ht="15.75">
      <c r="A149" s="316" t="s">
        <v>558</v>
      </c>
      <c r="B149" s="642" t="s">
        <v>558</v>
      </c>
      <c r="C149" s="643" t="e" cm="1">
        <f t="array" aca="1" ref="C149" ca="1">INDIRECT($F149&amp;C$90&amp;"!"&amp;$G149)</f>
        <v>#N/A</v>
      </c>
      <c r="D149" s="643" t="e" cm="1">
        <f t="array" aca="1" ref="D149" ca="1">INDIRECT($F149&amp;D$90&amp;"!"&amp;$G149)</f>
        <v>#N/A</v>
      </c>
      <c r="E149" s="327" t="e">
        <f t="shared" ca="1" si="36"/>
        <v>#N/A</v>
      </c>
      <c r="F149" s="644" t="e">
        <f t="shared" ca="1" si="37"/>
        <v>#N/A</v>
      </c>
      <c r="G149" s="644" t="e">
        <f t="shared" ca="1" si="38"/>
        <v>#N/A</v>
      </c>
      <c r="H149" s="645" t="e">
        <f t="shared" ca="1" si="39"/>
        <v>#N/A</v>
      </c>
    </row>
    <row r="150" spans="1:37" ht="16.5" thickBot="1">
      <c r="A150" s="324" t="s">
        <v>558</v>
      </c>
      <c r="B150" s="652" t="s">
        <v>558</v>
      </c>
      <c r="C150" s="653" t="e" cm="1">
        <f t="array" aca="1" ref="C150" ca="1">INDIRECT($F150&amp;C$90&amp;"!"&amp;$G150)</f>
        <v>#N/A</v>
      </c>
      <c r="D150" s="653" t="e" cm="1">
        <f t="array" aca="1" ref="D150" ca="1">INDIRECT($F150&amp;D$90&amp;"!"&amp;$G150)</f>
        <v>#N/A</v>
      </c>
      <c r="E150" s="333" t="e">
        <f t="shared" ca="1" si="36"/>
        <v>#N/A</v>
      </c>
      <c r="F150" s="654" t="e">
        <f t="shared" ca="1" si="37"/>
        <v>#N/A</v>
      </c>
      <c r="G150" s="654" t="e">
        <f t="shared" ca="1" si="38"/>
        <v>#N/A</v>
      </c>
      <c r="H150" s="655" t="e">
        <f t="shared" ca="1" si="39"/>
        <v>#N/A</v>
      </c>
    </row>
    <row r="151" spans="1:37" ht="15.75">
      <c r="A151" s="656"/>
      <c r="B151" s="657" t="s">
        <v>564</v>
      </c>
      <c r="C151" s="658" t="s">
        <v>552</v>
      </c>
      <c r="D151" s="659" t="s">
        <v>552</v>
      </c>
      <c r="E151" s="659" t="s">
        <v>552</v>
      </c>
      <c r="F151" s="659" t="s">
        <v>552</v>
      </c>
      <c r="G151" s="660" t="s">
        <v>552</v>
      </c>
      <c r="H151" s="658">
        <v>1</v>
      </c>
      <c r="I151" s="659">
        <v>1</v>
      </c>
      <c r="J151" s="659">
        <v>1</v>
      </c>
      <c r="K151" s="659">
        <v>1</v>
      </c>
      <c r="L151" s="660">
        <v>1</v>
      </c>
      <c r="M151" s="658">
        <f>H151+1</f>
        <v>2</v>
      </c>
      <c r="N151" s="659">
        <f t="shared" ref="N151:Q151" si="40">I151+1</f>
        <v>2</v>
      </c>
      <c r="O151" s="659">
        <f t="shared" si="40"/>
        <v>2</v>
      </c>
      <c r="P151" s="659">
        <f t="shared" si="40"/>
        <v>2</v>
      </c>
      <c r="Q151" s="660">
        <f t="shared" si="40"/>
        <v>2</v>
      </c>
      <c r="R151" s="658">
        <f>M151+1</f>
        <v>3</v>
      </c>
      <c r="S151" s="659">
        <f t="shared" ref="S151:V151" si="41">N151+1</f>
        <v>3</v>
      </c>
      <c r="T151" s="659">
        <f t="shared" si="41"/>
        <v>3</v>
      </c>
      <c r="U151" s="659">
        <f t="shared" si="41"/>
        <v>3</v>
      </c>
      <c r="V151" s="661">
        <f t="shared" si="41"/>
        <v>3</v>
      </c>
      <c r="W151" s="777" t="str">
        <f>H90</f>
        <v>Heat pump 1 source cell name as text</v>
      </c>
      <c r="X151" s="778"/>
      <c r="Y151" s="778"/>
      <c r="Z151" s="778"/>
      <c r="AA151" s="779"/>
      <c r="AB151" s="780" t="str">
        <f>F90</f>
        <v>Tab</v>
      </c>
      <c r="AC151" s="781"/>
      <c r="AD151" s="781"/>
      <c r="AE151" s="781"/>
      <c r="AF151" s="782"/>
      <c r="AG151" s="780" t="str">
        <f>G90</f>
        <v>Cell (everything to the right of the tab name)</v>
      </c>
      <c r="AH151" s="781"/>
      <c r="AI151" s="781"/>
      <c r="AJ151" s="781"/>
      <c r="AK151" s="783"/>
    </row>
    <row r="152" spans="1:37" ht="15.75">
      <c r="A152" s="662"/>
      <c r="B152" s="663" t="s">
        <v>565</v>
      </c>
      <c r="C152" s="664" t="s">
        <v>559</v>
      </c>
      <c r="D152" s="665" t="s">
        <v>560</v>
      </c>
      <c r="E152" s="665" t="s">
        <v>561</v>
      </c>
      <c r="F152" s="665" t="s">
        <v>562</v>
      </c>
      <c r="G152" s="666" t="s">
        <v>563</v>
      </c>
      <c r="H152" s="664" t="s">
        <v>559</v>
      </c>
      <c r="I152" s="665" t="s">
        <v>560</v>
      </c>
      <c r="J152" s="665" t="s">
        <v>561</v>
      </c>
      <c r="K152" s="665" t="s">
        <v>562</v>
      </c>
      <c r="L152" s="666" t="s">
        <v>563</v>
      </c>
      <c r="M152" s="664" t="s">
        <v>559</v>
      </c>
      <c r="N152" s="665" t="s">
        <v>560</v>
      </c>
      <c r="O152" s="665" t="s">
        <v>561</v>
      </c>
      <c r="P152" s="665" t="s">
        <v>562</v>
      </c>
      <c r="Q152" s="666" t="s">
        <v>563</v>
      </c>
      <c r="R152" s="664" t="s">
        <v>559</v>
      </c>
      <c r="S152" s="665" t="s">
        <v>560</v>
      </c>
      <c r="T152" s="665" t="s">
        <v>561</v>
      </c>
      <c r="U152" s="665" t="s">
        <v>562</v>
      </c>
      <c r="V152" s="667" t="s">
        <v>563</v>
      </c>
      <c r="W152" s="664" t="s">
        <v>559</v>
      </c>
      <c r="X152" s="665" t="s">
        <v>560</v>
      </c>
      <c r="Y152" s="665" t="s">
        <v>561</v>
      </c>
      <c r="Z152" s="665" t="s">
        <v>562</v>
      </c>
      <c r="AA152" s="667" t="s">
        <v>563</v>
      </c>
      <c r="AB152" s="664" t="s">
        <v>559</v>
      </c>
      <c r="AC152" s="665" t="s">
        <v>560</v>
      </c>
      <c r="AD152" s="665" t="s">
        <v>561</v>
      </c>
      <c r="AE152" s="665" t="s">
        <v>562</v>
      </c>
      <c r="AF152" s="667" t="s">
        <v>563</v>
      </c>
      <c r="AG152" s="664" t="s">
        <v>559</v>
      </c>
      <c r="AH152" s="665" t="s">
        <v>560</v>
      </c>
      <c r="AI152" s="665" t="s">
        <v>561</v>
      </c>
      <c r="AJ152" s="665" t="s">
        <v>562</v>
      </c>
      <c r="AK152" s="666" t="s">
        <v>563</v>
      </c>
    </row>
    <row r="153" spans="1:37" ht="16.5" thickBot="1">
      <c r="A153" s="668" t="s">
        <v>567</v>
      </c>
      <c r="B153" s="663" t="str">
        <f>B151&amp;B152&amp;"-&gt;"</f>
        <v>HP identifier:Bin-&gt;</v>
      </c>
      <c r="C153" s="669" t="str">
        <f>$K$1&amp;C152</f>
        <v>2A</v>
      </c>
      <c r="D153" s="670" t="str">
        <f>$K$1&amp;D152</f>
        <v>2B</v>
      </c>
      <c r="E153" s="670" t="str">
        <f>$K$1&amp;E152</f>
        <v>2C</v>
      </c>
      <c r="F153" s="670" t="str">
        <f>$K$1&amp;F152</f>
        <v>2D</v>
      </c>
      <c r="G153" s="671" t="str">
        <f>$K$1&amp;G152</f>
        <v>2E</v>
      </c>
      <c r="H153" s="669" t="str">
        <f t="shared" ref="H153:V153" si="42">H151&amp;H152</f>
        <v>1A</v>
      </c>
      <c r="I153" s="670" t="str">
        <f t="shared" si="42"/>
        <v>1B</v>
      </c>
      <c r="J153" s="670" t="str">
        <f t="shared" si="42"/>
        <v>1C</v>
      </c>
      <c r="K153" s="670" t="str">
        <f t="shared" si="42"/>
        <v>1D</v>
      </c>
      <c r="L153" s="671" t="str">
        <f t="shared" si="42"/>
        <v>1E</v>
      </c>
      <c r="M153" s="669" t="str">
        <f t="shared" si="42"/>
        <v>2A</v>
      </c>
      <c r="N153" s="670" t="str">
        <f t="shared" si="42"/>
        <v>2B</v>
      </c>
      <c r="O153" s="670" t="str">
        <f t="shared" si="42"/>
        <v>2C</v>
      </c>
      <c r="P153" s="670" t="str">
        <f t="shared" si="42"/>
        <v>2D</v>
      </c>
      <c r="Q153" s="671" t="str">
        <f t="shared" si="42"/>
        <v>2E</v>
      </c>
      <c r="R153" s="669" t="str">
        <f t="shared" si="42"/>
        <v>3A</v>
      </c>
      <c r="S153" s="670" t="str">
        <f t="shared" si="42"/>
        <v>3B</v>
      </c>
      <c r="T153" s="670" t="str">
        <f t="shared" si="42"/>
        <v>3C</v>
      </c>
      <c r="U153" s="670" t="str">
        <f t="shared" si="42"/>
        <v>3D</v>
      </c>
      <c r="V153" s="672" t="str">
        <f t="shared" si="42"/>
        <v>3E</v>
      </c>
      <c r="W153" s="669"/>
      <c r="X153" s="670"/>
      <c r="Y153" s="670"/>
      <c r="Z153" s="670"/>
      <c r="AA153" s="672"/>
      <c r="AB153" s="669"/>
      <c r="AC153" s="670"/>
      <c r="AD153" s="670"/>
      <c r="AE153" s="670"/>
      <c r="AF153" s="672"/>
      <c r="AG153" s="669"/>
      <c r="AH153" s="670"/>
      <c r="AI153" s="670"/>
      <c r="AJ153" s="670"/>
      <c r="AK153" s="671"/>
    </row>
    <row r="154" spans="1:37">
      <c r="A154" s="673" t="str">
        <f t="shared" ref="A154:A161" ca="1" si="43">A19</f>
        <v>Low Temperature COP  (kW/kW)</v>
      </c>
      <c r="B154" s="674">
        <f ca="1">IF(E128="Yes",1,0)</f>
        <v>0</v>
      </c>
      <c r="C154" s="675">
        <f ca="1">$B154*INDEX($H154:$V154,1,MATCH(C$153,$H$153:$V$153,0))</f>
        <v>0</v>
      </c>
      <c r="D154" s="676">
        <f t="shared" ref="D154:G161" ca="1" si="44">$B154*INDEX($H154:$V154,1,MATCH(D$153,$H$153:$V$153,0))</f>
        <v>0</v>
      </c>
      <c r="E154" s="676">
        <f t="shared" ca="1" si="44"/>
        <v>0</v>
      </c>
      <c r="F154" s="676">
        <f t="shared" ca="1" si="44"/>
        <v>0</v>
      </c>
      <c r="G154" s="677">
        <f t="shared" ca="1" si="44"/>
        <v>0</v>
      </c>
      <c r="H154" s="678">
        <f>HP_1!C47</f>
        <v>0</v>
      </c>
      <c r="I154" s="679">
        <f>HP_1!D47</f>
        <v>0</v>
      </c>
      <c r="J154" s="679">
        <f>HP_1!E47</f>
        <v>0</v>
      </c>
      <c r="K154" s="679">
        <f>HP_1!F47</f>
        <v>0</v>
      </c>
      <c r="L154" s="680">
        <f>HP_1!G47</f>
        <v>0</v>
      </c>
      <c r="M154" s="675" cm="1">
        <f t="array" aca="1" ref="M154" ca="1">INDIRECT(AB154&amp;M$151&amp;"!"&amp;AG154)</f>
        <v>0</v>
      </c>
      <c r="N154" s="676" cm="1">
        <f t="array" aca="1" ref="N154" ca="1">INDIRECT(AC154&amp;N$151&amp;"!"&amp;AH154)</f>
        <v>0</v>
      </c>
      <c r="O154" s="676" cm="1">
        <f t="array" aca="1" ref="O154" ca="1">INDIRECT(AD154&amp;O$151&amp;"!"&amp;AI154)</f>
        <v>0</v>
      </c>
      <c r="P154" s="676" cm="1">
        <f t="array" aca="1" ref="P154" ca="1">INDIRECT(AE154&amp;P$151&amp;"!"&amp;AJ154)</f>
        <v>0</v>
      </c>
      <c r="Q154" s="677" cm="1">
        <f t="array" aca="1" ref="Q154" ca="1">INDIRECT(AF154&amp;Q$151&amp;"!"&amp;AK154)</f>
        <v>0</v>
      </c>
      <c r="R154" s="675" cm="1">
        <f t="array" aca="1" ref="R154" ca="1">INDIRECT(AB154&amp;R$151&amp;"!"&amp;AG154)</f>
        <v>0</v>
      </c>
      <c r="S154" s="676" cm="1">
        <f t="array" aca="1" ref="S154" ca="1">INDIRECT(AC154&amp;S$151&amp;"!"&amp;AH154)</f>
        <v>0</v>
      </c>
      <c r="T154" s="676" cm="1">
        <f t="array" aca="1" ref="T154" ca="1">INDIRECT(AD154&amp;T$151&amp;"!"&amp;AI154)</f>
        <v>0</v>
      </c>
      <c r="U154" s="676" cm="1">
        <f t="array" aca="1" ref="U154" ca="1">INDIRECT(AE154&amp;U$151&amp;"!"&amp;AJ154)</f>
        <v>0</v>
      </c>
      <c r="V154" s="681" cm="1">
        <f t="array" aca="1" ref="V154" ca="1">INDIRECT(AF154&amp;V$151&amp;"!"&amp;AK154)</f>
        <v>0</v>
      </c>
      <c r="W154" s="682" t="str">
        <f ca="1">SUBSTITUTE( _xlfn.FORMULATEXT(H154),"=","")</f>
        <v>HP_1!C47</v>
      </c>
      <c r="X154" s="683" t="str">
        <f ca="1">SUBSTITUTE( _xlfn.FORMULATEXT(I154),"=","")</f>
        <v>HP_1!D47</v>
      </c>
      <c r="Y154" s="683" t="str">
        <f ca="1">SUBSTITUTE( _xlfn.FORMULATEXT(J154),"=","")</f>
        <v>HP_1!E47</v>
      </c>
      <c r="Z154" s="683" t="str">
        <f ca="1">SUBSTITUTE( _xlfn.FORMULATEXT(K154),"=","")</f>
        <v>HP_1!F47</v>
      </c>
      <c r="AA154" s="684" t="str">
        <f ca="1">SUBSTITUTE( _xlfn.FORMULATEXT(L154),"=","")</f>
        <v>HP_1!G47</v>
      </c>
      <c r="AB154" s="682" t="str">
        <f ca="1">LEFT(W154,FIND("1",W154)-1)</f>
        <v>HP_</v>
      </c>
      <c r="AC154" s="683" t="str">
        <f ca="1">LEFT(X154,FIND("1",X154)-1)</f>
        <v>HP_</v>
      </c>
      <c r="AD154" s="683" t="str">
        <f ca="1">LEFT(Y154,FIND("1",Y154)-1)</f>
        <v>HP_</v>
      </c>
      <c r="AE154" s="683" t="str">
        <f ca="1">LEFT(Z154,FIND("1",Z154)-1)</f>
        <v>HP_</v>
      </c>
      <c r="AF154" s="684" t="str">
        <f ca="1">LEFT(AA154,FIND("1",AA154)-1)</f>
        <v>HP_</v>
      </c>
      <c r="AG154" s="682" t="str">
        <f ca="1">RIGHT(W154,LEN(W154)-FIND("!",W154))</f>
        <v>C47</v>
      </c>
      <c r="AH154" s="683" t="str">
        <f ca="1">RIGHT(X154,LEN(X154)-FIND("!",X154))</f>
        <v>D47</v>
      </c>
      <c r="AI154" s="683" t="str">
        <f ca="1">RIGHT(Y154,LEN(Y154)-FIND("!",Y154))</f>
        <v>E47</v>
      </c>
      <c r="AJ154" s="683" t="str">
        <f ca="1">RIGHT(Z154,LEN(Z154)-FIND("!",Z154))</f>
        <v>F47</v>
      </c>
      <c r="AK154" s="685" t="str">
        <f ca="1">RIGHT(AA154,LEN(AA154)-FIND("!",AA154))</f>
        <v>G47</v>
      </c>
    </row>
    <row r="155" spans="1:37">
      <c r="A155" s="673" t="str">
        <f t="shared" ca="1" si="43"/>
        <v>Medium Temperature COP  (kW/kW)</v>
      </c>
      <c r="B155" s="674">
        <f ca="1">IF(E129="Yes",1,0)</f>
        <v>0</v>
      </c>
      <c r="C155" s="686">
        <f t="shared" ref="C155:C161" ca="1" si="45">$B155*INDEX($H155:$V155,1,MATCH(C$153,$H$153:$V$153,0))</f>
        <v>0</v>
      </c>
      <c r="D155" s="687">
        <f t="shared" ca="1" si="44"/>
        <v>0</v>
      </c>
      <c r="E155" s="687">
        <f t="shared" ca="1" si="44"/>
        <v>0</v>
      </c>
      <c r="F155" s="687">
        <f t="shared" ca="1" si="44"/>
        <v>0</v>
      </c>
      <c r="G155" s="688">
        <f t="shared" ca="1" si="44"/>
        <v>0</v>
      </c>
      <c r="H155" s="689">
        <f>HP_1!C51</f>
        <v>0</v>
      </c>
      <c r="I155" s="690">
        <f>HP_1!D51</f>
        <v>0</v>
      </c>
      <c r="J155" s="690">
        <f>HP_1!E51</f>
        <v>0</v>
      </c>
      <c r="K155" s="690">
        <f>HP_1!F51</f>
        <v>0</v>
      </c>
      <c r="L155" s="691">
        <f>HP_1!G51</f>
        <v>0</v>
      </c>
      <c r="M155" s="686" cm="1">
        <f t="array" aca="1" ref="M155" ca="1">INDIRECT(AB155&amp;M$151&amp;"!"&amp;AG155)</f>
        <v>0</v>
      </c>
      <c r="N155" s="687" cm="1">
        <f t="array" aca="1" ref="N155" ca="1">INDIRECT(AC155&amp;N$151&amp;"!"&amp;AH155)</f>
        <v>0</v>
      </c>
      <c r="O155" s="687" cm="1">
        <f t="array" aca="1" ref="O155" ca="1">INDIRECT(AD155&amp;O$151&amp;"!"&amp;AI155)</f>
        <v>0</v>
      </c>
      <c r="P155" s="687" cm="1">
        <f t="array" aca="1" ref="P155" ca="1">INDIRECT(AE155&amp;P$151&amp;"!"&amp;AJ155)</f>
        <v>0</v>
      </c>
      <c r="Q155" s="688" cm="1">
        <f t="array" aca="1" ref="Q155" ca="1">INDIRECT(AF155&amp;Q$151&amp;"!"&amp;AK155)</f>
        <v>0</v>
      </c>
      <c r="R155" s="686" cm="1">
        <f t="array" aca="1" ref="R155" ca="1">INDIRECT(AB155&amp;R$151&amp;"!"&amp;AG155)</f>
        <v>0</v>
      </c>
      <c r="S155" s="687" cm="1">
        <f t="array" aca="1" ref="S155" ca="1">INDIRECT(AC155&amp;S$151&amp;"!"&amp;AH155)</f>
        <v>0</v>
      </c>
      <c r="T155" s="687" cm="1">
        <f t="array" aca="1" ref="T155" ca="1">INDIRECT(AD155&amp;T$151&amp;"!"&amp;AI155)</f>
        <v>0</v>
      </c>
      <c r="U155" s="687" cm="1">
        <f t="array" aca="1" ref="U155" ca="1">INDIRECT(AE155&amp;U$151&amp;"!"&amp;AJ155)</f>
        <v>0</v>
      </c>
      <c r="V155" s="692" cm="1">
        <f t="array" aca="1" ref="V155" ca="1">INDIRECT(AF155&amp;V$151&amp;"!"&amp;AK155)</f>
        <v>0</v>
      </c>
      <c r="W155" s="693" t="str">
        <f t="shared" ref="W155:AA161" ca="1" si="46">SUBSTITUTE( _xlfn.FORMULATEXT(H155),"=","")</f>
        <v>HP_1!C51</v>
      </c>
      <c r="X155" s="694" t="str">
        <f t="shared" ca="1" si="46"/>
        <v>HP_1!D51</v>
      </c>
      <c r="Y155" s="694" t="str">
        <f t="shared" ca="1" si="46"/>
        <v>HP_1!E51</v>
      </c>
      <c r="Z155" s="694" t="str">
        <f t="shared" ca="1" si="46"/>
        <v>HP_1!F51</v>
      </c>
      <c r="AA155" s="695" t="str">
        <f t="shared" ca="1" si="46"/>
        <v>HP_1!G51</v>
      </c>
      <c r="AB155" s="693" t="str">
        <f t="shared" ref="AB155:AF161" ca="1" si="47">LEFT(W155,FIND("1",W155)-1)</f>
        <v>HP_</v>
      </c>
      <c r="AC155" s="694" t="str">
        <f t="shared" ca="1" si="47"/>
        <v>HP_</v>
      </c>
      <c r="AD155" s="694" t="str">
        <f t="shared" ca="1" si="47"/>
        <v>HP_</v>
      </c>
      <c r="AE155" s="694" t="str">
        <f t="shared" ca="1" si="47"/>
        <v>HP_</v>
      </c>
      <c r="AF155" s="695" t="str">
        <f t="shared" ca="1" si="47"/>
        <v>HP_</v>
      </c>
      <c r="AG155" s="693" t="str">
        <f t="shared" ref="AG155:AK161" ca="1" si="48">RIGHT(W155,LEN(W155)-FIND("!",W155))</f>
        <v>C51</v>
      </c>
      <c r="AH155" s="694" t="str">
        <f t="shared" ca="1" si="48"/>
        <v>D51</v>
      </c>
      <c r="AI155" s="694" t="str">
        <f t="shared" ca="1" si="48"/>
        <v>E51</v>
      </c>
      <c r="AJ155" s="694" t="str">
        <f t="shared" ca="1" si="48"/>
        <v>F51</v>
      </c>
      <c r="AK155" s="696" t="str">
        <f t="shared" ca="1" si="48"/>
        <v>G51</v>
      </c>
    </row>
    <row r="156" spans="1:37">
      <c r="A156" s="673" t="str">
        <f t="shared" ca="1" si="43"/>
        <v>High Temperature COP  (kW/kW)</v>
      </c>
      <c r="B156" s="674">
        <f ca="1">IF(E127="Yes",1,0)</f>
        <v>1</v>
      </c>
      <c r="C156" s="686">
        <f t="shared" ca="1" si="45"/>
        <v>0</v>
      </c>
      <c r="D156" s="687">
        <f t="shared" ca="1" si="44"/>
        <v>0</v>
      </c>
      <c r="E156" s="687">
        <f t="shared" ca="1" si="44"/>
        <v>0</v>
      </c>
      <c r="F156" s="687">
        <f t="shared" ca="1" si="44"/>
        <v>0</v>
      </c>
      <c r="G156" s="688">
        <f t="shared" ca="1" si="44"/>
        <v>0</v>
      </c>
      <c r="H156" s="689">
        <f>HP_1!C55</f>
        <v>0</v>
      </c>
      <c r="I156" s="690">
        <f>HP_1!D55</f>
        <v>0</v>
      </c>
      <c r="J156" s="690">
        <f>HP_1!E55</f>
        <v>0</v>
      </c>
      <c r="K156" s="690">
        <f>HP_1!F55</f>
        <v>0</v>
      </c>
      <c r="L156" s="691">
        <f>HP_1!G55</f>
        <v>0</v>
      </c>
      <c r="M156" s="686" cm="1">
        <f t="array" aca="1" ref="M156" ca="1">INDIRECT(AB156&amp;M$151&amp;"!"&amp;AG156)</f>
        <v>0</v>
      </c>
      <c r="N156" s="687" cm="1">
        <f t="array" aca="1" ref="N156" ca="1">INDIRECT(AC156&amp;N$151&amp;"!"&amp;AH156)</f>
        <v>0</v>
      </c>
      <c r="O156" s="687" cm="1">
        <f t="array" aca="1" ref="O156" ca="1">INDIRECT(AD156&amp;O$151&amp;"!"&amp;AI156)</f>
        <v>0</v>
      </c>
      <c r="P156" s="687" cm="1">
        <f t="array" aca="1" ref="P156" ca="1">INDIRECT(AE156&amp;P$151&amp;"!"&amp;AJ156)</f>
        <v>0</v>
      </c>
      <c r="Q156" s="688" cm="1">
        <f t="array" aca="1" ref="Q156" ca="1">INDIRECT(AF156&amp;Q$151&amp;"!"&amp;AK156)</f>
        <v>0</v>
      </c>
      <c r="R156" s="686" cm="1">
        <f t="array" aca="1" ref="R156" ca="1">INDIRECT(AB156&amp;R$151&amp;"!"&amp;AG156)</f>
        <v>0</v>
      </c>
      <c r="S156" s="687" cm="1">
        <f t="array" aca="1" ref="S156" ca="1">INDIRECT(AC156&amp;S$151&amp;"!"&amp;AH156)</f>
        <v>0</v>
      </c>
      <c r="T156" s="687" cm="1">
        <f t="array" aca="1" ref="T156" ca="1">INDIRECT(AD156&amp;T$151&amp;"!"&amp;AI156)</f>
        <v>0</v>
      </c>
      <c r="U156" s="687" cm="1">
        <f t="array" aca="1" ref="U156" ca="1">INDIRECT(AE156&amp;U$151&amp;"!"&amp;AJ156)</f>
        <v>0</v>
      </c>
      <c r="V156" s="692" cm="1">
        <f t="array" aca="1" ref="V156" ca="1">INDIRECT(AF156&amp;V$151&amp;"!"&amp;AK156)</f>
        <v>0</v>
      </c>
      <c r="W156" s="693" t="str">
        <f t="shared" ca="1" si="46"/>
        <v>HP_1!C55</v>
      </c>
      <c r="X156" s="694" t="str">
        <f t="shared" ca="1" si="46"/>
        <v>HP_1!D55</v>
      </c>
      <c r="Y156" s="694" t="str">
        <f t="shared" ca="1" si="46"/>
        <v>HP_1!E55</v>
      </c>
      <c r="Z156" s="694" t="str">
        <f t="shared" ca="1" si="46"/>
        <v>HP_1!F55</v>
      </c>
      <c r="AA156" s="695" t="str">
        <f t="shared" ca="1" si="46"/>
        <v>HP_1!G55</v>
      </c>
      <c r="AB156" s="693" t="str">
        <f t="shared" ca="1" si="47"/>
        <v>HP_</v>
      </c>
      <c r="AC156" s="694" t="str">
        <f t="shared" ca="1" si="47"/>
        <v>HP_</v>
      </c>
      <c r="AD156" s="694" t="str">
        <f t="shared" ca="1" si="47"/>
        <v>HP_</v>
      </c>
      <c r="AE156" s="694" t="str">
        <f t="shared" ca="1" si="47"/>
        <v>HP_</v>
      </c>
      <c r="AF156" s="695" t="str">
        <f t="shared" ca="1" si="47"/>
        <v>HP_</v>
      </c>
      <c r="AG156" s="693" t="str">
        <f t="shared" ca="1" si="48"/>
        <v>C55</v>
      </c>
      <c r="AH156" s="694" t="str">
        <f t="shared" ca="1" si="48"/>
        <v>D55</v>
      </c>
      <c r="AI156" s="694" t="str">
        <f t="shared" ca="1" si="48"/>
        <v>E55</v>
      </c>
      <c r="AJ156" s="694" t="str">
        <f t="shared" ca="1" si="48"/>
        <v>F55</v>
      </c>
      <c r="AK156" s="696" t="str">
        <f t="shared" ca="1" si="48"/>
        <v>G55</v>
      </c>
    </row>
    <row r="157" spans="1:37" ht="13.5" thickBot="1">
      <c r="A157" s="673" t="str">
        <f t="shared" ca="1" si="43"/>
        <v>Very high Temperature COP  (kW/kW)</v>
      </c>
      <c r="B157" s="674">
        <f ca="1">IF(E130="Yes",1,0)</f>
        <v>0</v>
      </c>
      <c r="C157" s="697">
        <f t="shared" ca="1" si="45"/>
        <v>0</v>
      </c>
      <c r="D157" s="698">
        <f t="shared" ca="1" si="44"/>
        <v>0</v>
      </c>
      <c r="E157" s="698">
        <f t="shared" ca="1" si="44"/>
        <v>0</v>
      </c>
      <c r="F157" s="698">
        <f t="shared" ca="1" si="44"/>
        <v>0</v>
      </c>
      <c r="G157" s="699">
        <f t="shared" ca="1" si="44"/>
        <v>0</v>
      </c>
      <c r="H157" s="700">
        <f>HP_1!C59</f>
        <v>0</v>
      </c>
      <c r="I157" s="701">
        <f>HP_1!D59</f>
        <v>0</v>
      </c>
      <c r="J157" s="701">
        <f>HP_1!E59</f>
        <v>0</v>
      </c>
      <c r="K157" s="701">
        <f>HP_1!F59</f>
        <v>0</v>
      </c>
      <c r="L157" s="702">
        <f>HP_1!G59</f>
        <v>0</v>
      </c>
      <c r="M157" s="697" cm="1">
        <f t="array" aca="1" ref="M157" ca="1">INDIRECT(AB157&amp;M$151&amp;"!"&amp;AG157)</f>
        <v>0</v>
      </c>
      <c r="N157" s="698" cm="1">
        <f t="array" aca="1" ref="N157" ca="1">INDIRECT(AC157&amp;N$151&amp;"!"&amp;AH157)</f>
        <v>0</v>
      </c>
      <c r="O157" s="698" cm="1">
        <f t="array" aca="1" ref="O157" ca="1">INDIRECT(AD157&amp;O$151&amp;"!"&amp;AI157)</f>
        <v>0</v>
      </c>
      <c r="P157" s="698" cm="1">
        <f t="array" aca="1" ref="P157" ca="1">INDIRECT(AE157&amp;P$151&amp;"!"&amp;AJ157)</f>
        <v>0</v>
      </c>
      <c r="Q157" s="699" cm="1">
        <f t="array" aca="1" ref="Q157" ca="1">INDIRECT(AF157&amp;Q$151&amp;"!"&amp;AK157)</f>
        <v>0</v>
      </c>
      <c r="R157" s="697" cm="1">
        <f t="array" aca="1" ref="R157" ca="1">INDIRECT(AB157&amp;R$151&amp;"!"&amp;AG157)</f>
        <v>0</v>
      </c>
      <c r="S157" s="698" cm="1">
        <f t="array" aca="1" ref="S157" ca="1">INDIRECT(AC157&amp;S$151&amp;"!"&amp;AH157)</f>
        <v>0</v>
      </c>
      <c r="T157" s="698" cm="1">
        <f t="array" aca="1" ref="T157" ca="1">INDIRECT(AD157&amp;T$151&amp;"!"&amp;AI157)</f>
        <v>0</v>
      </c>
      <c r="U157" s="698" cm="1">
        <f t="array" aca="1" ref="U157" ca="1">INDIRECT(AE157&amp;U$151&amp;"!"&amp;AJ157)</f>
        <v>0</v>
      </c>
      <c r="V157" s="703" cm="1">
        <f t="array" aca="1" ref="V157" ca="1">INDIRECT(AF157&amp;V$151&amp;"!"&amp;AK157)</f>
        <v>0</v>
      </c>
      <c r="W157" s="704" t="str">
        <f t="shared" ca="1" si="46"/>
        <v>HP_1!C59</v>
      </c>
      <c r="X157" s="705" t="str">
        <f t="shared" ca="1" si="46"/>
        <v>HP_1!D59</v>
      </c>
      <c r="Y157" s="705" t="str">
        <f t="shared" ca="1" si="46"/>
        <v>HP_1!E59</v>
      </c>
      <c r="Z157" s="705" t="str">
        <f t="shared" ca="1" si="46"/>
        <v>HP_1!F59</v>
      </c>
      <c r="AA157" s="706" t="str">
        <f t="shared" ca="1" si="46"/>
        <v>HP_1!G59</v>
      </c>
      <c r="AB157" s="704" t="str">
        <f t="shared" ca="1" si="47"/>
        <v>HP_</v>
      </c>
      <c r="AC157" s="705" t="str">
        <f t="shared" ca="1" si="47"/>
        <v>HP_</v>
      </c>
      <c r="AD157" s="705" t="str">
        <f t="shared" ca="1" si="47"/>
        <v>HP_</v>
      </c>
      <c r="AE157" s="705" t="str">
        <f t="shared" ca="1" si="47"/>
        <v>HP_</v>
      </c>
      <c r="AF157" s="706" t="str">
        <f t="shared" ca="1" si="47"/>
        <v>HP_</v>
      </c>
      <c r="AG157" s="704" t="str">
        <f t="shared" ca="1" si="48"/>
        <v>C59</v>
      </c>
      <c r="AH157" s="705" t="str">
        <f t="shared" ca="1" si="48"/>
        <v>D59</v>
      </c>
      <c r="AI157" s="705" t="str">
        <f t="shared" ca="1" si="48"/>
        <v>E59</v>
      </c>
      <c r="AJ157" s="705" t="str">
        <f t="shared" ca="1" si="48"/>
        <v>F59</v>
      </c>
      <c r="AK157" s="707" t="str">
        <f t="shared" ca="1" si="48"/>
        <v>G59</v>
      </c>
    </row>
    <row r="158" spans="1:37">
      <c r="A158" s="673" t="str">
        <f t="shared" ca="1" si="43"/>
        <v>Low Temperature Heating Capacity (kW)</v>
      </c>
      <c r="B158" s="674">
        <f ca="1">B154</f>
        <v>0</v>
      </c>
      <c r="C158" s="686">
        <f t="shared" ca="1" si="45"/>
        <v>0</v>
      </c>
      <c r="D158" s="687">
        <f t="shared" ca="1" si="44"/>
        <v>0</v>
      </c>
      <c r="E158" s="687">
        <f t="shared" ca="1" si="44"/>
        <v>0</v>
      </c>
      <c r="F158" s="687">
        <f t="shared" ca="1" si="44"/>
        <v>0</v>
      </c>
      <c r="G158" s="688">
        <f t="shared" ca="1" si="44"/>
        <v>0</v>
      </c>
      <c r="H158" s="689">
        <f>HP_1!C46</f>
        <v>0</v>
      </c>
      <c r="I158" s="690">
        <f>HP_1!D46</f>
        <v>0</v>
      </c>
      <c r="J158" s="690">
        <f>HP_1!E46</f>
        <v>0</v>
      </c>
      <c r="K158" s="690">
        <f>HP_1!F46</f>
        <v>0</v>
      </c>
      <c r="L158" s="691">
        <f>HP_1!G46</f>
        <v>0</v>
      </c>
      <c r="M158" s="686" cm="1">
        <f t="array" aca="1" ref="M158" ca="1">INDIRECT(AB158&amp;M$151&amp;"!"&amp;AG158)</f>
        <v>0</v>
      </c>
      <c r="N158" s="687" cm="1">
        <f t="array" aca="1" ref="N158" ca="1">INDIRECT(AC158&amp;N$151&amp;"!"&amp;AH158)</f>
        <v>0</v>
      </c>
      <c r="O158" s="687" cm="1">
        <f t="array" aca="1" ref="O158" ca="1">INDIRECT(AD158&amp;O$151&amp;"!"&amp;AI158)</f>
        <v>0</v>
      </c>
      <c r="P158" s="687" cm="1">
        <f t="array" aca="1" ref="P158" ca="1">INDIRECT(AE158&amp;P$151&amp;"!"&amp;AJ158)</f>
        <v>0</v>
      </c>
      <c r="Q158" s="688" cm="1">
        <f t="array" aca="1" ref="Q158" ca="1">INDIRECT(AF158&amp;Q$151&amp;"!"&amp;AK158)</f>
        <v>0</v>
      </c>
      <c r="R158" s="686" cm="1">
        <f t="array" aca="1" ref="R158" ca="1">INDIRECT(AB158&amp;R$151&amp;"!"&amp;AG158)</f>
        <v>0</v>
      </c>
      <c r="S158" s="687" cm="1">
        <f t="array" aca="1" ref="S158" ca="1">INDIRECT(AC158&amp;S$151&amp;"!"&amp;AH158)</f>
        <v>0</v>
      </c>
      <c r="T158" s="687" cm="1">
        <f t="array" aca="1" ref="T158" ca="1">INDIRECT(AD158&amp;T$151&amp;"!"&amp;AI158)</f>
        <v>0</v>
      </c>
      <c r="U158" s="687" cm="1">
        <f t="array" aca="1" ref="U158" ca="1">INDIRECT(AE158&amp;U$151&amp;"!"&amp;AJ158)</f>
        <v>0</v>
      </c>
      <c r="V158" s="692" cm="1">
        <f t="array" aca="1" ref="V158" ca="1">INDIRECT(AF158&amp;V$151&amp;"!"&amp;AK158)</f>
        <v>0</v>
      </c>
      <c r="W158" s="693" t="str">
        <f t="shared" ca="1" si="46"/>
        <v>HP_1!C46</v>
      </c>
      <c r="X158" s="694" t="str">
        <f t="shared" ca="1" si="46"/>
        <v>HP_1!D46</v>
      </c>
      <c r="Y158" s="694" t="str">
        <f t="shared" ca="1" si="46"/>
        <v>HP_1!E46</v>
      </c>
      <c r="Z158" s="694" t="str">
        <f t="shared" ca="1" si="46"/>
        <v>HP_1!F46</v>
      </c>
      <c r="AA158" s="695" t="str">
        <f t="shared" ca="1" si="46"/>
        <v>HP_1!G46</v>
      </c>
      <c r="AB158" s="693" t="str">
        <f t="shared" ca="1" si="47"/>
        <v>HP_</v>
      </c>
      <c r="AC158" s="694" t="str">
        <f t="shared" ca="1" si="47"/>
        <v>HP_</v>
      </c>
      <c r="AD158" s="694" t="str">
        <f t="shared" ca="1" si="47"/>
        <v>HP_</v>
      </c>
      <c r="AE158" s="694" t="str">
        <f t="shared" ca="1" si="47"/>
        <v>HP_</v>
      </c>
      <c r="AF158" s="695" t="str">
        <f t="shared" ca="1" si="47"/>
        <v>HP_</v>
      </c>
      <c r="AG158" s="693" t="str">
        <f t="shared" ca="1" si="48"/>
        <v>C46</v>
      </c>
      <c r="AH158" s="694" t="str">
        <f t="shared" ca="1" si="48"/>
        <v>D46</v>
      </c>
      <c r="AI158" s="694" t="str">
        <f t="shared" ca="1" si="48"/>
        <v>E46</v>
      </c>
      <c r="AJ158" s="694" t="str">
        <f t="shared" ca="1" si="48"/>
        <v>F46</v>
      </c>
      <c r="AK158" s="696" t="str">
        <f t="shared" ca="1" si="48"/>
        <v>G46</v>
      </c>
    </row>
    <row r="159" spans="1:37">
      <c r="A159" s="673" t="str">
        <f t="shared" ca="1" si="43"/>
        <v>Medium Temperature Heating Capacity (kW)</v>
      </c>
      <c r="B159" s="674">
        <f ca="1">B155</f>
        <v>0</v>
      </c>
      <c r="C159" s="686">
        <f t="shared" ca="1" si="45"/>
        <v>0</v>
      </c>
      <c r="D159" s="687">
        <f t="shared" ca="1" si="44"/>
        <v>0</v>
      </c>
      <c r="E159" s="687">
        <f t="shared" ca="1" si="44"/>
        <v>0</v>
      </c>
      <c r="F159" s="687">
        <f t="shared" ca="1" si="44"/>
        <v>0</v>
      </c>
      <c r="G159" s="688">
        <f t="shared" ca="1" si="44"/>
        <v>0</v>
      </c>
      <c r="H159" s="689">
        <f>HP_1!C50</f>
        <v>0</v>
      </c>
      <c r="I159" s="690">
        <f>HP_1!D50</f>
        <v>0</v>
      </c>
      <c r="J159" s="690">
        <f>HP_1!E50</f>
        <v>0</v>
      </c>
      <c r="K159" s="690">
        <f>HP_1!F50</f>
        <v>0</v>
      </c>
      <c r="L159" s="691">
        <f>HP_1!G50</f>
        <v>0</v>
      </c>
      <c r="M159" s="686" cm="1">
        <f t="array" aca="1" ref="M159" ca="1">INDIRECT(AB159&amp;M$151&amp;"!"&amp;AG159)</f>
        <v>0</v>
      </c>
      <c r="N159" s="687" cm="1">
        <f t="array" aca="1" ref="N159" ca="1">INDIRECT(AC159&amp;N$151&amp;"!"&amp;AH159)</f>
        <v>0</v>
      </c>
      <c r="O159" s="687" cm="1">
        <f t="array" aca="1" ref="O159" ca="1">INDIRECT(AD159&amp;O$151&amp;"!"&amp;AI159)</f>
        <v>0</v>
      </c>
      <c r="P159" s="687" cm="1">
        <f t="array" aca="1" ref="P159" ca="1">INDIRECT(AE159&amp;P$151&amp;"!"&amp;AJ159)</f>
        <v>0</v>
      </c>
      <c r="Q159" s="688" cm="1">
        <f t="array" aca="1" ref="Q159" ca="1">INDIRECT(AF159&amp;Q$151&amp;"!"&amp;AK159)</f>
        <v>0</v>
      </c>
      <c r="R159" s="686" cm="1">
        <f t="array" aca="1" ref="R159" ca="1">INDIRECT(AB159&amp;R$151&amp;"!"&amp;AG159)</f>
        <v>0</v>
      </c>
      <c r="S159" s="687" cm="1">
        <f t="array" aca="1" ref="S159" ca="1">INDIRECT(AC159&amp;S$151&amp;"!"&amp;AH159)</f>
        <v>0</v>
      </c>
      <c r="T159" s="687" cm="1">
        <f t="array" aca="1" ref="T159" ca="1">INDIRECT(AD159&amp;T$151&amp;"!"&amp;AI159)</f>
        <v>0</v>
      </c>
      <c r="U159" s="687" cm="1">
        <f t="array" aca="1" ref="U159" ca="1">INDIRECT(AE159&amp;U$151&amp;"!"&amp;AJ159)</f>
        <v>0</v>
      </c>
      <c r="V159" s="692" cm="1">
        <f t="array" aca="1" ref="V159" ca="1">INDIRECT(AF159&amp;V$151&amp;"!"&amp;AK159)</f>
        <v>0</v>
      </c>
      <c r="W159" s="693" t="str">
        <f t="shared" ca="1" si="46"/>
        <v>HP_1!C50</v>
      </c>
      <c r="X159" s="694" t="str">
        <f t="shared" ca="1" si="46"/>
        <v>HP_1!D50</v>
      </c>
      <c r="Y159" s="694" t="str">
        <f t="shared" ca="1" si="46"/>
        <v>HP_1!E50</v>
      </c>
      <c r="Z159" s="694" t="str">
        <f t="shared" ca="1" si="46"/>
        <v>HP_1!F50</v>
      </c>
      <c r="AA159" s="695" t="str">
        <f t="shared" ca="1" si="46"/>
        <v>HP_1!G50</v>
      </c>
      <c r="AB159" s="693" t="str">
        <f t="shared" ca="1" si="47"/>
        <v>HP_</v>
      </c>
      <c r="AC159" s="694" t="str">
        <f t="shared" ca="1" si="47"/>
        <v>HP_</v>
      </c>
      <c r="AD159" s="694" t="str">
        <f t="shared" ca="1" si="47"/>
        <v>HP_</v>
      </c>
      <c r="AE159" s="694" t="str">
        <f t="shared" ca="1" si="47"/>
        <v>HP_</v>
      </c>
      <c r="AF159" s="695" t="str">
        <f t="shared" ca="1" si="47"/>
        <v>HP_</v>
      </c>
      <c r="AG159" s="693" t="str">
        <f t="shared" ca="1" si="48"/>
        <v>C50</v>
      </c>
      <c r="AH159" s="694" t="str">
        <f t="shared" ca="1" si="48"/>
        <v>D50</v>
      </c>
      <c r="AI159" s="694" t="str">
        <f t="shared" ca="1" si="48"/>
        <v>E50</v>
      </c>
      <c r="AJ159" s="694" t="str">
        <f t="shared" ca="1" si="48"/>
        <v>F50</v>
      </c>
      <c r="AK159" s="696" t="str">
        <f t="shared" ca="1" si="48"/>
        <v>G50</v>
      </c>
    </row>
    <row r="160" spans="1:37">
      <c r="A160" s="673" t="str">
        <f t="shared" ca="1" si="43"/>
        <v>High Temperature Heating Capacity (kW)</v>
      </c>
      <c r="B160" s="674">
        <f ca="1">B156</f>
        <v>1</v>
      </c>
      <c r="C160" s="686">
        <f t="shared" ca="1" si="45"/>
        <v>0</v>
      </c>
      <c r="D160" s="687">
        <f t="shared" ca="1" si="44"/>
        <v>0</v>
      </c>
      <c r="E160" s="687">
        <f t="shared" ca="1" si="44"/>
        <v>0</v>
      </c>
      <c r="F160" s="687">
        <f t="shared" ca="1" si="44"/>
        <v>0</v>
      </c>
      <c r="G160" s="688">
        <f t="shared" ca="1" si="44"/>
        <v>0</v>
      </c>
      <c r="H160" s="689">
        <f>HP_1!C54</f>
        <v>0</v>
      </c>
      <c r="I160" s="690">
        <f>HP_1!D54</f>
        <v>0</v>
      </c>
      <c r="J160" s="690">
        <f>HP_1!E54</f>
        <v>0</v>
      </c>
      <c r="K160" s="690">
        <f>HP_1!F54</f>
        <v>0</v>
      </c>
      <c r="L160" s="691">
        <f>HP_1!G54</f>
        <v>0</v>
      </c>
      <c r="M160" s="686" cm="1">
        <f t="array" aca="1" ref="M160" ca="1">INDIRECT(AB160&amp;M$151&amp;"!"&amp;AG160)</f>
        <v>0</v>
      </c>
      <c r="N160" s="687" cm="1">
        <f t="array" aca="1" ref="N160" ca="1">INDIRECT(AC160&amp;N$151&amp;"!"&amp;AH160)</f>
        <v>0</v>
      </c>
      <c r="O160" s="687" cm="1">
        <f t="array" aca="1" ref="O160" ca="1">INDIRECT(AD160&amp;O$151&amp;"!"&amp;AI160)</f>
        <v>0</v>
      </c>
      <c r="P160" s="687" cm="1">
        <f t="array" aca="1" ref="P160" ca="1">INDIRECT(AE160&amp;P$151&amp;"!"&amp;AJ160)</f>
        <v>0</v>
      </c>
      <c r="Q160" s="688" cm="1">
        <f t="array" aca="1" ref="Q160" ca="1">INDIRECT(AF160&amp;Q$151&amp;"!"&amp;AK160)</f>
        <v>0</v>
      </c>
      <c r="R160" s="686" cm="1">
        <f t="array" aca="1" ref="R160" ca="1">INDIRECT(AB160&amp;R$151&amp;"!"&amp;AG160)</f>
        <v>0</v>
      </c>
      <c r="S160" s="687" cm="1">
        <f t="array" aca="1" ref="S160" ca="1">INDIRECT(AC160&amp;S$151&amp;"!"&amp;AH160)</f>
        <v>0</v>
      </c>
      <c r="T160" s="687" cm="1">
        <f t="array" aca="1" ref="T160" ca="1">INDIRECT(AD160&amp;T$151&amp;"!"&amp;AI160)</f>
        <v>0</v>
      </c>
      <c r="U160" s="687" cm="1">
        <f t="array" aca="1" ref="U160" ca="1">INDIRECT(AE160&amp;U$151&amp;"!"&amp;AJ160)</f>
        <v>0</v>
      </c>
      <c r="V160" s="692" cm="1">
        <f t="array" aca="1" ref="V160" ca="1">INDIRECT(AF160&amp;V$151&amp;"!"&amp;AK160)</f>
        <v>0</v>
      </c>
      <c r="W160" s="693" t="str">
        <f t="shared" ca="1" si="46"/>
        <v>HP_1!C54</v>
      </c>
      <c r="X160" s="694" t="str">
        <f t="shared" ca="1" si="46"/>
        <v>HP_1!D54</v>
      </c>
      <c r="Y160" s="694" t="str">
        <f t="shared" ca="1" si="46"/>
        <v>HP_1!E54</v>
      </c>
      <c r="Z160" s="694" t="str">
        <f t="shared" ca="1" si="46"/>
        <v>HP_1!F54</v>
      </c>
      <c r="AA160" s="695" t="str">
        <f t="shared" ca="1" si="46"/>
        <v>HP_1!G54</v>
      </c>
      <c r="AB160" s="693" t="str">
        <f t="shared" ca="1" si="47"/>
        <v>HP_</v>
      </c>
      <c r="AC160" s="694" t="str">
        <f t="shared" ca="1" si="47"/>
        <v>HP_</v>
      </c>
      <c r="AD160" s="694" t="str">
        <f t="shared" ca="1" si="47"/>
        <v>HP_</v>
      </c>
      <c r="AE160" s="694" t="str">
        <f t="shared" ca="1" si="47"/>
        <v>HP_</v>
      </c>
      <c r="AF160" s="695" t="str">
        <f t="shared" ca="1" si="47"/>
        <v>HP_</v>
      </c>
      <c r="AG160" s="693" t="str">
        <f t="shared" ca="1" si="48"/>
        <v>C54</v>
      </c>
      <c r="AH160" s="694" t="str">
        <f t="shared" ca="1" si="48"/>
        <v>D54</v>
      </c>
      <c r="AI160" s="694" t="str">
        <f t="shared" ca="1" si="48"/>
        <v>E54</v>
      </c>
      <c r="AJ160" s="694" t="str">
        <f t="shared" ca="1" si="48"/>
        <v>F54</v>
      </c>
      <c r="AK160" s="696" t="str">
        <f t="shared" ca="1" si="48"/>
        <v>G54</v>
      </c>
    </row>
    <row r="161" spans="1:37" ht="13.5" thickBot="1">
      <c r="A161" s="708" t="str">
        <f t="shared" ca="1" si="43"/>
        <v>Very high Temperature Heating Capacity (kW)</v>
      </c>
      <c r="B161" s="709">
        <f ca="1">B157</f>
        <v>0</v>
      </c>
      <c r="C161" s="697">
        <f t="shared" ca="1" si="45"/>
        <v>0</v>
      </c>
      <c r="D161" s="698">
        <f t="shared" ca="1" si="44"/>
        <v>0</v>
      </c>
      <c r="E161" s="698">
        <f t="shared" ca="1" si="44"/>
        <v>0</v>
      </c>
      <c r="F161" s="698">
        <f t="shared" ca="1" si="44"/>
        <v>0</v>
      </c>
      <c r="G161" s="699">
        <f t="shared" ca="1" si="44"/>
        <v>0</v>
      </c>
      <c r="H161" s="700">
        <f>HP_1!C58</f>
        <v>0</v>
      </c>
      <c r="I161" s="701">
        <f>HP_1!D58</f>
        <v>0</v>
      </c>
      <c r="J161" s="701">
        <f>HP_1!E58</f>
        <v>0</v>
      </c>
      <c r="K161" s="701">
        <f>HP_1!F58</f>
        <v>0</v>
      </c>
      <c r="L161" s="702">
        <f>HP_1!G58</f>
        <v>0</v>
      </c>
      <c r="M161" s="697" cm="1">
        <f t="array" aca="1" ref="M161" ca="1">INDIRECT(AB161&amp;M$151&amp;"!"&amp;AG161)</f>
        <v>0</v>
      </c>
      <c r="N161" s="698" cm="1">
        <f t="array" aca="1" ref="N161" ca="1">INDIRECT(AC161&amp;N$151&amp;"!"&amp;AH161)</f>
        <v>0</v>
      </c>
      <c r="O161" s="698" cm="1">
        <f t="array" aca="1" ref="O161" ca="1">INDIRECT(AD161&amp;O$151&amp;"!"&amp;AI161)</f>
        <v>0</v>
      </c>
      <c r="P161" s="698" cm="1">
        <f t="array" aca="1" ref="P161" ca="1">INDIRECT(AE161&amp;P$151&amp;"!"&amp;AJ161)</f>
        <v>0</v>
      </c>
      <c r="Q161" s="699" cm="1">
        <f t="array" aca="1" ref="Q161" ca="1">INDIRECT(AF161&amp;Q$151&amp;"!"&amp;AK161)</f>
        <v>0</v>
      </c>
      <c r="R161" s="697" cm="1">
        <f t="array" aca="1" ref="R161" ca="1">INDIRECT(AB161&amp;R$151&amp;"!"&amp;AG161)</f>
        <v>0</v>
      </c>
      <c r="S161" s="698" cm="1">
        <f t="array" aca="1" ref="S161" ca="1">INDIRECT(AC161&amp;S$151&amp;"!"&amp;AH161)</f>
        <v>0</v>
      </c>
      <c r="T161" s="698" cm="1">
        <f t="array" aca="1" ref="T161" ca="1">INDIRECT(AD161&amp;T$151&amp;"!"&amp;AI161)</f>
        <v>0</v>
      </c>
      <c r="U161" s="698" cm="1">
        <f t="array" aca="1" ref="U161" ca="1">INDIRECT(AE161&amp;U$151&amp;"!"&amp;AJ161)</f>
        <v>0</v>
      </c>
      <c r="V161" s="703" cm="1">
        <f t="array" aca="1" ref="V161" ca="1">INDIRECT(AF161&amp;V$151&amp;"!"&amp;AK161)</f>
        <v>0</v>
      </c>
      <c r="W161" s="704" t="str">
        <f t="shared" ca="1" si="46"/>
        <v>HP_1!C58</v>
      </c>
      <c r="X161" s="705" t="str">
        <f t="shared" ca="1" si="46"/>
        <v>HP_1!D58</v>
      </c>
      <c r="Y161" s="705" t="str">
        <f t="shared" ca="1" si="46"/>
        <v>HP_1!E58</v>
      </c>
      <c r="Z161" s="705" t="str">
        <f t="shared" ca="1" si="46"/>
        <v>HP_1!F58</v>
      </c>
      <c r="AA161" s="706" t="str">
        <f t="shared" ca="1" si="46"/>
        <v>HP_1!G58</v>
      </c>
      <c r="AB161" s="704" t="str">
        <f t="shared" ca="1" si="47"/>
        <v>HP_</v>
      </c>
      <c r="AC161" s="705" t="str">
        <f t="shared" ca="1" si="47"/>
        <v>HP_</v>
      </c>
      <c r="AD161" s="705" t="str">
        <f t="shared" ca="1" si="47"/>
        <v>HP_</v>
      </c>
      <c r="AE161" s="705" t="str">
        <f t="shared" ca="1" si="47"/>
        <v>HP_</v>
      </c>
      <c r="AF161" s="706" t="str">
        <f t="shared" ca="1" si="47"/>
        <v>HP_</v>
      </c>
      <c r="AG161" s="704" t="str">
        <f t="shared" ca="1" si="48"/>
        <v>C58</v>
      </c>
      <c r="AH161" s="705" t="str">
        <f t="shared" ca="1" si="48"/>
        <v>D58</v>
      </c>
      <c r="AI161" s="705" t="str">
        <f t="shared" ca="1" si="48"/>
        <v>E58</v>
      </c>
      <c r="AJ161" s="705" t="str">
        <f t="shared" ca="1" si="48"/>
        <v>F58</v>
      </c>
      <c r="AK161" s="707" t="str">
        <f t="shared" ca="1" si="48"/>
        <v>G58</v>
      </c>
    </row>
  </sheetData>
  <sheetProtection algorithmName="SHA-512" hashValue="vB1B7LeUeHoEGbD4Blce+Oe2d/G402BD8OwcQyutOffO2/P0WBsuMWasSHC/HCEZFufr2idjPYLFG5c6+Cv5bA==" saltValue="KxMDC0/rCLpxqjXlegNgaA==" spinCount="100000" sheet="1" objects="1" scenarios="1"/>
  <autoFilter ref="A1:AD56" xr:uid="{00000000-0009-0000-0000-000013000000}"/>
  <mergeCells count="5">
    <mergeCell ref="AF3:AI3"/>
    <mergeCell ref="C40:H40"/>
    <mergeCell ref="W151:AA151"/>
    <mergeCell ref="AB151:AF151"/>
    <mergeCell ref="AG151:AK151"/>
  </mergeCells>
  <pageMargins left="0.75" right="0.75" top="1" bottom="1" header="0.5" footer="0.5"/>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E1000A1ED9F0A4881CA71417B9AAB1C" ma:contentTypeVersion="10" ma:contentTypeDescription="Create a new document." ma:contentTypeScope="" ma:versionID="ea76d0b3d1251a13e65f36ce6ec0cdd6">
  <xsd:schema xmlns:xsd="http://www.w3.org/2001/XMLSchema" xmlns:xs="http://www.w3.org/2001/XMLSchema" xmlns:p="http://schemas.microsoft.com/office/2006/metadata/properties" xmlns:ns3="dc252299-5a89-410d-9be4-f9d4d4b5b70c" xmlns:ns4="dd2f04c5-f62c-4b94-9ef1-ef3c18b260a7" targetNamespace="http://schemas.microsoft.com/office/2006/metadata/properties" ma:root="true" ma:fieldsID="fd790fcd2df8cac2396c14edaf889ece" ns3:_="" ns4:_="">
    <xsd:import namespace="dc252299-5a89-410d-9be4-f9d4d4b5b70c"/>
    <xsd:import namespace="dd2f04c5-f62c-4b94-9ef1-ef3c18b260a7"/>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252299-5a89-410d-9be4-f9d4d4b5b7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d2f04c5-f62c-4b94-9ef1-ef3c18b260a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EEE1B8F5-1F91-4319-BC75-1360288FC2E7}">
  <ds:schemaRefs>
    <ds:schemaRef ds:uri="http://schemas.microsoft.com/sharepoint/v3/contenttype/forms"/>
  </ds:schemaRefs>
</ds:datastoreItem>
</file>

<file path=customXml/itemProps2.xml><?xml version="1.0" encoding="utf-8"?>
<ds:datastoreItem xmlns:ds="http://schemas.openxmlformats.org/officeDocument/2006/customXml" ds:itemID="{15966DA3-74D7-4FF9-BF98-D1EA95546DE0}">
  <ds:schemaRefs>
    <ds:schemaRef ds:uri="dd2f04c5-f62c-4b94-9ef1-ef3c18b260a7"/>
    <ds:schemaRef ds:uri="http://purl.org/dc/terms/"/>
    <ds:schemaRef ds:uri="dc252299-5a89-410d-9be4-f9d4d4b5b70c"/>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0BADFBB3-50D1-40AA-8C44-83DAF2D0F7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252299-5a89-410d-9be4-f9d4d4b5b70c"/>
    <ds:schemaRef ds:uri="dd2f04c5-f62c-4b94-9ef1-ef3c18b260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9FE4653-8DAA-4327-B3D8-40E79146D6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Cov</vt:lpstr>
      <vt:lpstr>Code</vt:lpstr>
      <vt:lpstr>Proj</vt:lpstr>
      <vt:lpstr>DEAPEntries</vt:lpstr>
      <vt:lpstr>HP_1</vt:lpstr>
      <vt:lpstr>HP_2</vt:lpstr>
      <vt:lpstr>HP_3</vt:lpstr>
      <vt:lpstr>HeatingCalc_1</vt:lpstr>
      <vt:lpstr>HeatingCalc_2</vt:lpstr>
      <vt:lpstr>HeatingCalc_3</vt:lpstr>
      <vt:lpstr>DHWCalc_1</vt:lpstr>
      <vt:lpstr>DHWCalc_2</vt:lpstr>
      <vt:lpstr>DHWCalc_3</vt:lpstr>
      <vt:lpstr>SpaceStandardsID_1</vt:lpstr>
      <vt:lpstr>SpaceStandardsID_2</vt:lpstr>
      <vt:lpstr>SpaceStandardsID_3</vt:lpstr>
      <vt:lpstr>WaterStandardsID_1</vt:lpstr>
      <vt:lpstr>WaterStandardsID_2</vt:lpstr>
      <vt:lpstr>WaterStandardsID_3</vt:lpstr>
      <vt:lpstr>Meteorological data</vt:lpstr>
      <vt:lpstr>Proj!Print_Area</vt:lpstr>
    </vt:vector>
  </TitlesOfParts>
  <Manager/>
  <Company>Emerald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DEAP 3.2.0 TGD L 2008_2011 Workbook V0.3 - Unprotected</dc:title>
  <dc:subject/>
  <dc:creator>Ciaran King</dc:creator>
  <cp:keywords/>
  <dc:description>Developed for SEI</dc:description>
  <cp:lastModifiedBy>Coyle Orla</cp:lastModifiedBy>
  <cp:revision/>
  <cp:lastPrinted>2019-12-10T16:46:14Z</cp:lastPrinted>
  <dcterms:created xsi:type="dcterms:W3CDTF">2005-07-16T12:33:31Z</dcterms:created>
  <dcterms:modified xsi:type="dcterms:W3CDTF">2020-08-19T16:04:21Z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Excel Document</vt:lpwstr>
  </property>
  <property fmtid="{D5CDD505-2E9C-101B-9397-08002B2CF9AE}" pid="3" name="ContentTypeId">
    <vt:lpwstr>0x0101007E1000A1ED9F0A4881CA71417B9AAB1C</vt:lpwstr>
  </property>
  <property fmtid="{D5CDD505-2E9C-101B-9397-08002B2CF9AE}" pid="4" name="SharedWithUsers">
    <vt:lpwstr>296;#Coyle Orla</vt:lpwstr>
  </property>
</Properties>
</file>